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540" yWindow="-165" windowWidth="16740" windowHeight="12150" activeTab="8"/>
  </bookViews>
  <sheets>
    <sheet name="ต.ค.62" sheetId="20" r:id="rId1"/>
    <sheet name="พ.ย.62" sheetId="22" r:id="rId2"/>
    <sheet name="ธ.ค.62" sheetId="23" r:id="rId3"/>
    <sheet name="ม.ค.63" sheetId="24" r:id="rId4"/>
    <sheet name="ก.พ.63" sheetId="25" r:id="rId5"/>
    <sheet name="มี.ค.63" sheetId="26" r:id="rId6"/>
    <sheet name="เม.ย.63" sheetId="27" r:id="rId7"/>
    <sheet name="พ.ค.63" sheetId="28" r:id="rId8"/>
    <sheet name="มิ.ย.63" sheetId="29" r:id="rId9"/>
    <sheet name="ก.ค.63" sheetId="30" r:id="rId10"/>
    <sheet name="ส.ค.63" sheetId="31" r:id="rId11"/>
    <sheet name="ก.ย.63" sheetId="32" r:id="rId12"/>
    <sheet name="รวมมหาราช" sheetId="34" r:id="rId13"/>
    <sheet name="รวมบ้านแพรก" sheetId="35" r:id="rId14"/>
  </sheets>
  <calcPr calcId="144525"/>
</workbook>
</file>

<file path=xl/calcChain.xml><?xml version="1.0" encoding="utf-8"?>
<calcChain xmlns="http://schemas.openxmlformats.org/spreadsheetml/2006/main">
  <c r="O12" i="35" l="1"/>
  <c r="M12" i="35"/>
  <c r="N12" i="35" s="1"/>
  <c r="K12" i="35"/>
  <c r="L12" i="35" s="1"/>
  <c r="J12" i="35"/>
  <c r="G12" i="35"/>
  <c r="O11" i="35"/>
  <c r="M11" i="35"/>
  <c r="N11" i="35" s="1"/>
  <c r="K11" i="35"/>
  <c r="L11" i="35" s="1"/>
  <c r="J11" i="35"/>
  <c r="G11" i="35"/>
  <c r="O10" i="35"/>
  <c r="M10" i="35"/>
  <c r="N10" i="35" s="1"/>
  <c r="K10" i="35"/>
  <c r="L10" i="35" s="1"/>
  <c r="J10" i="35"/>
  <c r="G10" i="35"/>
  <c r="O9" i="35"/>
  <c r="M9" i="35"/>
  <c r="N9" i="35" s="1"/>
  <c r="K9" i="35"/>
  <c r="L9" i="35" s="1"/>
  <c r="J9" i="35"/>
  <c r="G9" i="35"/>
  <c r="O8" i="35"/>
  <c r="M8" i="35"/>
  <c r="N8" i="35" s="1"/>
  <c r="K8" i="35"/>
  <c r="L8" i="35" s="1"/>
  <c r="J8" i="35"/>
  <c r="G8" i="35"/>
  <c r="O7" i="35"/>
  <c r="M7" i="35"/>
  <c r="N7" i="35" s="1"/>
  <c r="K7" i="35"/>
  <c r="L7" i="35" s="1"/>
  <c r="J7" i="35"/>
  <c r="G7" i="35"/>
  <c r="O6" i="35"/>
  <c r="M6" i="35"/>
  <c r="N6" i="35" s="1"/>
  <c r="K6" i="35"/>
  <c r="L6" i="35" s="1"/>
  <c r="J6" i="35"/>
  <c r="G6" i="35"/>
  <c r="M5" i="35"/>
  <c r="N5" i="35" s="1"/>
  <c r="L5" i="35"/>
  <c r="K5" i="35"/>
  <c r="J5" i="35"/>
  <c r="G5" i="35"/>
  <c r="M17" i="35"/>
  <c r="O16" i="35"/>
  <c r="M16" i="35"/>
  <c r="L16" i="35"/>
  <c r="O15" i="35"/>
  <c r="M15" i="35"/>
  <c r="L15" i="35"/>
  <c r="O14" i="35"/>
  <c r="M14" i="35"/>
  <c r="L14" i="35"/>
  <c r="O13" i="35"/>
  <c r="M13" i="35"/>
  <c r="L13" i="35"/>
  <c r="M17" i="34" l="1"/>
  <c r="O16" i="34"/>
  <c r="M16" i="34"/>
  <c r="K16" i="34"/>
  <c r="L16" i="34" s="1"/>
  <c r="J16" i="34"/>
  <c r="G16" i="34"/>
  <c r="N16" i="34" s="1"/>
  <c r="O15" i="34"/>
  <c r="M15" i="34"/>
  <c r="K15" i="34"/>
  <c r="L15" i="34" s="1"/>
  <c r="J15" i="34"/>
  <c r="G15" i="34"/>
  <c r="O14" i="34"/>
  <c r="M14" i="34"/>
  <c r="K14" i="34"/>
  <c r="L14" i="34" s="1"/>
  <c r="J14" i="34"/>
  <c r="G14" i="34"/>
  <c r="N14" i="34" s="1"/>
  <c r="O13" i="34"/>
  <c r="M13" i="34"/>
  <c r="K13" i="34"/>
  <c r="L13" i="34" s="1"/>
  <c r="J13" i="34"/>
  <c r="G13" i="34"/>
  <c r="N13" i="34" s="1"/>
  <c r="N15" i="34" l="1"/>
  <c r="K16" i="23"/>
  <c r="K17" i="23"/>
  <c r="K6" i="32"/>
  <c r="K7" i="32"/>
  <c r="K8" i="32"/>
  <c r="K9" i="32"/>
  <c r="K10" i="32"/>
  <c r="K11" i="32"/>
  <c r="K12" i="32"/>
  <c r="K13" i="32"/>
  <c r="K14" i="32"/>
  <c r="K15" i="32"/>
  <c r="K16" i="32"/>
  <c r="K17" i="32"/>
  <c r="K18" i="32"/>
  <c r="K19" i="32"/>
  <c r="K20" i="32"/>
  <c r="K5" i="32"/>
  <c r="K6" i="31"/>
  <c r="K7" i="31"/>
  <c r="K8" i="31"/>
  <c r="K9" i="31"/>
  <c r="K10" i="31"/>
  <c r="K11" i="31"/>
  <c r="K12" i="31"/>
  <c r="K13" i="31"/>
  <c r="K14" i="31"/>
  <c r="K15" i="31"/>
  <c r="K16" i="31"/>
  <c r="K17" i="31"/>
  <c r="K18" i="31"/>
  <c r="K19" i="31"/>
  <c r="K20" i="31"/>
  <c r="K5" i="31"/>
  <c r="K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5" i="30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5" i="29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5" i="28"/>
  <c r="K20" i="27"/>
  <c r="K7" i="27"/>
  <c r="K6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5" i="27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7" i="26"/>
  <c r="K6" i="26"/>
  <c r="K5" i="26"/>
  <c r="K20" i="25"/>
  <c r="K19" i="25"/>
  <c r="K18" i="25"/>
  <c r="K17" i="25"/>
  <c r="K16" i="25"/>
  <c r="K15" i="25"/>
  <c r="K14" i="25"/>
  <c r="K13" i="25"/>
  <c r="K12" i="25"/>
  <c r="K11" i="25"/>
  <c r="K10" i="25"/>
  <c r="K9" i="25"/>
  <c r="K8" i="25"/>
  <c r="K7" i="25"/>
  <c r="K6" i="25"/>
  <c r="K5" i="25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7" i="24"/>
  <c r="K6" i="24"/>
  <c r="K5" i="24"/>
  <c r="K20" i="23"/>
  <c r="K19" i="23"/>
  <c r="K18" i="23"/>
  <c r="K15" i="23"/>
  <c r="K14" i="23"/>
  <c r="K13" i="23"/>
  <c r="K12" i="23"/>
  <c r="K11" i="23"/>
  <c r="K10" i="23"/>
  <c r="K9" i="23"/>
  <c r="K8" i="23"/>
  <c r="K7" i="23"/>
  <c r="K6" i="23"/>
  <c r="K5" i="23"/>
  <c r="M6" i="32" l="1"/>
  <c r="M7" i="32"/>
  <c r="M8" i="32"/>
  <c r="N8" i="32" s="1"/>
  <c r="M9" i="32"/>
  <c r="N9" i="32" s="1"/>
  <c r="M10" i="32"/>
  <c r="M11" i="32"/>
  <c r="M12" i="32"/>
  <c r="M13" i="32"/>
  <c r="M14" i="32"/>
  <c r="M15" i="32"/>
  <c r="M16" i="32"/>
  <c r="N16" i="32" s="1"/>
  <c r="M17" i="32"/>
  <c r="M18" i="32"/>
  <c r="N18" i="32" s="1"/>
  <c r="M19" i="32"/>
  <c r="M20" i="32"/>
  <c r="M5" i="32"/>
  <c r="O6" i="32"/>
  <c r="O7" i="32"/>
  <c r="O8" i="32"/>
  <c r="O9" i="32"/>
  <c r="O10" i="32"/>
  <c r="O11" i="32"/>
  <c r="O12" i="32"/>
  <c r="O13" i="32"/>
  <c r="O14" i="32"/>
  <c r="O15" i="32"/>
  <c r="O16" i="32"/>
  <c r="O17" i="32"/>
  <c r="O18" i="32"/>
  <c r="O19" i="32"/>
  <c r="O20" i="32"/>
  <c r="O5" i="32"/>
  <c r="M21" i="32"/>
  <c r="L20" i="32"/>
  <c r="J20" i="32"/>
  <c r="G20" i="32"/>
  <c r="L19" i="32"/>
  <c r="J19" i="32"/>
  <c r="G19" i="32"/>
  <c r="L18" i="32"/>
  <c r="J18" i="32"/>
  <c r="G18" i="32"/>
  <c r="N17" i="32"/>
  <c r="L17" i="32"/>
  <c r="J17" i="32"/>
  <c r="G17" i="32"/>
  <c r="L16" i="32"/>
  <c r="J16" i="32"/>
  <c r="G16" i="32"/>
  <c r="L15" i="32"/>
  <c r="J15" i="32"/>
  <c r="N15" i="32" s="1"/>
  <c r="G15" i="32"/>
  <c r="L14" i="32"/>
  <c r="J14" i="32"/>
  <c r="G14" i="32"/>
  <c r="N14" i="32" s="1"/>
  <c r="L13" i="32"/>
  <c r="J13" i="32"/>
  <c r="G13" i="32"/>
  <c r="N13" i="32" s="1"/>
  <c r="L12" i="32"/>
  <c r="J12" i="32"/>
  <c r="G12" i="32"/>
  <c r="L11" i="32"/>
  <c r="J11" i="32"/>
  <c r="G11" i="32"/>
  <c r="N10" i="32"/>
  <c r="L10" i="32"/>
  <c r="J10" i="32"/>
  <c r="G10" i="32"/>
  <c r="L9" i="32"/>
  <c r="J9" i="32"/>
  <c r="G9" i="32"/>
  <c r="L8" i="32"/>
  <c r="J8" i="32"/>
  <c r="G8" i="32"/>
  <c r="L7" i="32"/>
  <c r="J7" i="32"/>
  <c r="N7" i="32" s="1"/>
  <c r="G7" i="32"/>
  <c r="L6" i="32"/>
  <c r="J6" i="32"/>
  <c r="G6" i="32"/>
  <c r="N6" i="32" s="1"/>
  <c r="L5" i="32"/>
  <c r="J5" i="32"/>
  <c r="G5" i="32"/>
  <c r="N5" i="32" s="1"/>
  <c r="M6" i="31"/>
  <c r="M7" i="31"/>
  <c r="M8" i="31"/>
  <c r="M9" i="31"/>
  <c r="M10" i="31"/>
  <c r="M11" i="31"/>
  <c r="M12" i="31"/>
  <c r="M13" i="31"/>
  <c r="N13" i="31" s="1"/>
  <c r="M14" i="31"/>
  <c r="M15" i="31"/>
  <c r="M16" i="31"/>
  <c r="M17" i="31"/>
  <c r="M18" i="31"/>
  <c r="M19" i="31"/>
  <c r="M20" i="31"/>
  <c r="M5" i="31"/>
  <c r="N5" i="31"/>
  <c r="O6" i="31"/>
  <c r="O7" i="31"/>
  <c r="O8" i="31"/>
  <c r="O9" i="31"/>
  <c r="O10" i="31"/>
  <c r="O11" i="31"/>
  <c r="O12" i="31"/>
  <c r="O13" i="31"/>
  <c r="O14" i="31"/>
  <c r="O15" i="31"/>
  <c r="O16" i="31"/>
  <c r="O17" i="31"/>
  <c r="O18" i="31"/>
  <c r="O19" i="31"/>
  <c r="O20" i="31"/>
  <c r="O5" i="31"/>
  <c r="M21" i="31"/>
  <c r="L20" i="31"/>
  <c r="J20" i="31"/>
  <c r="G20" i="31"/>
  <c r="L19" i="31"/>
  <c r="J19" i="31"/>
  <c r="G19" i="31"/>
  <c r="N19" i="31" s="1"/>
  <c r="L18" i="31"/>
  <c r="J18" i="31"/>
  <c r="G18" i="31"/>
  <c r="L17" i="31"/>
  <c r="J17" i="31"/>
  <c r="G17" i="31"/>
  <c r="N17" i="31" s="1"/>
  <c r="N16" i="31"/>
  <c r="L16" i="31"/>
  <c r="J16" i="31"/>
  <c r="G16" i="31"/>
  <c r="N15" i="31"/>
  <c r="L15" i="31"/>
  <c r="J15" i="31"/>
  <c r="G15" i="31"/>
  <c r="N14" i="31"/>
  <c r="L14" i="31"/>
  <c r="J14" i="31"/>
  <c r="G14" i="31"/>
  <c r="L13" i="31"/>
  <c r="J13" i="31"/>
  <c r="G13" i="31"/>
  <c r="L12" i="31"/>
  <c r="J12" i="31"/>
  <c r="G12" i="31"/>
  <c r="L11" i="31"/>
  <c r="J11" i="31"/>
  <c r="G11" i="31"/>
  <c r="L10" i="31"/>
  <c r="J10" i="31"/>
  <c r="G10" i="31"/>
  <c r="N10" i="31" s="1"/>
  <c r="L9" i="31"/>
  <c r="J9" i="31"/>
  <c r="G9" i="31"/>
  <c r="N8" i="31"/>
  <c r="L8" i="31"/>
  <c r="J8" i="31"/>
  <c r="G8" i="31"/>
  <c r="N7" i="31"/>
  <c r="L7" i="31"/>
  <c r="J7" i="31"/>
  <c r="G7" i="31"/>
  <c r="N6" i="31"/>
  <c r="L6" i="31"/>
  <c r="J6" i="31"/>
  <c r="G6" i="31"/>
  <c r="L5" i="31"/>
  <c r="J5" i="31"/>
  <c r="G5" i="31"/>
  <c r="M6" i="30"/>
  <c r="M7" i="30"/>
  <c r="M8" i="30"/>
  <c r="M9" i="30"/>
  <c r="M10" i="30"/>
  <c r="M11" i="30"/>
  <c r="M12" i="30"/>
  <c r="N12" i="30" s="1"/>
  <c r="M13" i="30"/>
  <c r="N13" i="30" s="1"/>
  <c r="M14" i="30"/>
  <c r="M15" i="30"/>
  <c r="M16" i="30"/>
  <c r="M17" i="30"/>
  <c r="M18" i="30"/>
  <c r="M19" i="30"/>
  <c r="M20" i="30"/>
  <c r="M5" i="30"/>
  <c r="M21" i="30"/>
  <c r="L20" i="30"/>
  <c r="J20" i="30"/>
  <c r="G20" i="30"/>
  <c r="L19" i="30"/>
  <c r="J19" i="30"/>
  <c r="N19" i="30" s="1"/>
  <c r="G19" i="30"/>
  <c r="L18" i="30"/>
  <c r="J18" i="30"/>
  <c r="G18" i="30"/>
  <c r="L17" i="30"/>
  <c r="J17" i="30"/>
  <c r="G17" i="30"/>
  <c r="L16" i="30"/>
  <c r="J16" i="30"/>
  <c r="G16" i="30"/>
  <c r="N16" i="30" s="1"/>
  <c r="N15" i="30"/>
  <c r="L15" i="30"/>
  <c r="J15" i="30"/>
  <c r="G15" i="30"/>
  <c r="N14" i="30"/>
  <c r="L14" i="30"/>
  <c r="J14" i="30"/>
  <c r="G14" i="30"/>
  <c r="L13" i="30"/>
  <c r="J13" i="30"/>
  <c r="G13" i="30"/>
  <c r="L12" i="30"/>
  <c r="J12" i="30"/>
  <c r="G12" i="30"/>
  <c r="L11" i="30"/>
  <c r="J11" i="30"/>
  <c r="N11" i="30" s="1"/>
  <c r="G11" i="30"/>
  <c r="L10" i="30"/>
  <c r="J10" i="30"/>
  <c r="G10" i="30"/>
  <c r="N10" i="30" s="1"/>
  <c r="L9" i="30"/>
  <c r="J9" i="30"/>
  <c r="G9" i="30"/>
  <c r="N9" i="30" s="1"/>
  <c r="L8" i="30"/>
  <c r="J8" i="30"/>
  <c r="G8" i="30"/>
  <c r="N8" i="30" s="1"/>
  <c r="N7" i="30"/>
  <c r="L7" i="30"/>
  <c r="J7" i="30"/>
  <c r="G7" i="30"/>
  <c r="N6" i="30"/>
  <c r="L6" i="30"/>
  <c r="J6" i="30"/>
  <c r="G6" i="30"/>
  <c r="N5" i="30"/>
  <c r="L5" i="30"/>
  <c r="J5" i="30"/>
  <c r="G5" i="30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5" i="29"/>
  <c r="M21" i="29"/>
  <c r="L20" i="29"/>
  <c r="J20" i="29"/>
  <c r="G20" i="29"/>
  <c r="N20" i="29" s="1"/>
  <c r="O20" i="30" s="1"/>
  <c r="L19" i="29"/>
  <c r="J19" i="29"/>
  <c r="G19" i="29"/>
  <c r="L18" i="29"/>
  <c r="J18" i="29"/>
  <c r="G18" i="29"/>
  <c r="L17" i="29"/>
  <c r="J17" i="29"/>
  <c r="G17" i="29"/>
  <c r="L16" i="29"/>
  <c r="J16" i="29"/>
  <c r="G16" i="29"/>
  <c r="L15" i="29"/>
  <c r="J15" i="29"/>
  <c r="G15" i="29"/>
  <c r="N15" i="29" s="1"/>
  <c r="O15" i="30" s="1"/>
  <c r="L14" i="29"/>
  <c r="J14" i="29"/>
  <c r="G14" i="29"/>
  <c r="L13" i="29"/>
  <c r="J13" i="29"/>
  <c r="G13" i="29"/>
  <c r="N13" i="29" s="1"/>
  <c r="O13" i="30" s="1"/>
  <c r="L12" i="29"/>
  <c r="J12" i="29"/>
  <c r="G12" i="29"/>
  <c r="N12" i="29" s="1"/>
  <c r="O12" i="30" s="1"/>
  <c r="L11" i="29"/>
  <c r="J11" i="29"/>
  <c r="G11" i="29"/>
  <c r="L10" i="29"/>
  <c r="J10" i="29"/>
  <c r="G10" i="29"/>
  <c r="L9" i="29"/>
  <c r="J9" i="29"/>
  <c r="G9" i="29"/>
  <c r="L8" i="29"/>
  <c r="J8" i="29"/>
  <c r="G8" i="29"/>
  <c r="L7" i="29"/>
  <c r="J7" i="29"/>
  <c r="G7" i="29"/>
  <c r="L6" i="29"/>
  <c r="J6" i="29"/>
  <c r="G6" i="29"/>
  <c r="L5" i="29"/>
  <c r="J5" i="29"/>
  <c r="N5" i="29" s="1"/>
  <c r="O5" i="30" s="1"/>
  <c r="G5" i="29"/>
  <c r="M6" i="28"/>
  <c r="M7" i="28"/>
  <c r="N7" i="28" s="1"/>
  <c r="O7" i="29" s="1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5" i="28"/>
  <c r="N5" i="28" s="1"/>
  <c r="O5" i="29" s="1"/>
  <c r="O17" i="28"/>
  <c r="M21" i="28"/>
  <c r="L20" i="28"/>
  <c r="J20" i="28"/>
  <c r="G20" i="28"/>
  <c r="L19" i="28"/>
  <c r="J19" i="28"/>
  <c r="G19" i="28"/>
  <c r="L18" i="28"/>
  <c r="J18" i="28"/>
  <c r="G18" i="28"/>
  <c r="L17" i="28"/>
  <c r="J17" i="28"/>
  <c r="G17" i="28"/>
  <c r="L16" i="28"/>
  <c r="J16" i="28"/>
  <c r="G16" i="28"/>
  <c r="L15" i="28"/>
  <c r="J15" i="28"/>
  <c r="G15" i="28"/>
  <c r="L14" i="28"/>
  <c r="J14" i="28"/>
  <c r="G14" i="28"/>
  <c r="L13" i="28"/>
  <c r="J13" i="28"/>
  <c r="G13" i="28"/>
  <c r="L12" i="28"/>
  <c r="J12" i="28"/>
  <c r="G12" i="28"/>
  <c r="N12" i="28" s="1"/>
  <c r="O12" i="29" s="1"/>
  <c r="L11" i="28"/>
  <c r="J11" i="28"/>
  <c r="G11" i="28"/>
  <c r="L10" i="28"/>
  <c r="J10" i="28"/>
  <c r="G10" i="28"/>
  <c r="L9" i="28"/>
  <c r="J9" i="28"/>
  <c r="G9" i="28"/>
  <c r="L8" i="28"/>
  <c r="J8" i="28"/>
  <c r="G8" i="28"/>
  <c r="N8" i="28" s="1"/>
  <c r="O8" i="29" s="1"/>
  <c r="L7" i="28"/>
  <c r="J7" i="28"/>
  <c r="G7" i="28"/>
  <c r="L6" i="28"/>
  <c r="J6" i="28"/>
  <c r="G6" i="28"/>
  <c r="L5" i="28"/>
  <c r="J5" i="28"/>
  <c r="G5" i="28"/>
  <c r="M6" i="27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5" i="27"/>
  <c r="M21" i="27"/>
  <c r="L20" i="27"/>
  <c r="J20" i="27"/>
  <c r="G20" i="27"/>
  <c r="L19" i="27"/>
  <c r="J19" i="27"/>
  <c r="G19" i="27"/>
  <c r="L18" i="27"/>
  <c r="J18" i="27"/>
  <c r="G18" i="27"/>
  <c r="L17" i="27"/>
  <c r="J17" i="27"/>
  <c r="G17" i="27"/>
  <c r="N17" i="27" s="1"/>
  <c r="L16" i="27"/>
  <c r="J16" i="27"/>
  <c r="G16" i="27"/>
  <c r="L15" i="27"/>
  <c r="J15" i="27"/>
  <c r="G15" i="27"/>
  <c r="N15" i="27" s="1"/>
  <c r="O15" i="28" s="1"/>
  <c r="L14" i="27"/>
  <c r="J14" i="27"/>
  <c r="G14" i="27"/>
  <c r="L13" i="27"/>
  <c r="J13" i="27"/>
  <c r="G13" i="27"/>
  <c r="N13" i="27" s="1"/>
  <c r="O13" i="28" s="1"/>
  <c r="L12" i="27"/>
  <c r="J12" i="27"/>
  <c r="G12" i="27"/>
  <c r="L11" i="27"/>
  <c r="J11" i="27"/>
  <c r="G11" i="27"/>
  <c r="L10" i="27"/>
  <c r="J10" i="27"/>
  <c r="G10" i="27"/>
  <c r="L9" i="27"/>
  <c r="J9" i="27"/>
  <c r="G9" i="27"/>
  <c r="L8" i="27"/>
  <c r="J8" i="27"/>
  <c r="G8" i="27"/>
  <c r="L7" i="27"/>
  <c r="J7" i="27"/>
  <c r="G7" i="27"/>
  <c r="L6" i="27"/>
  <c r="J6" i="27"/>
  <c r="G6" i="27"/>
  <c r="L5" i="27"/>
  <c r="J5" i="27"/>
  <c r="G5" i="27"/>
  <c r="M6" i="26"/>
  <c r="M7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5" i="26"/>
  <c r="M21" i="26"/>
  <c r="L20" i="26"/>
  <c r="J20" i="26"/>
  <c r="G20" i="26"/>
  <c r="L19" i="26"/>
  <c r="J19" i="26"/>
  <c r="G19" i="26"/>
  <c r="L18" i="26"/>
  <c r="J18" i="26"/>
  <c r="G18" i="26"/>
  <c r="L17" i="26"/>
  <c r="J17" i="26"/>
  <c r="G17" i="26"/>
  <c r="L16" i="26"/>
  <c r="J16" i="26"/>
  <c r="N16" i="26" s="1"/>
  <c r="O16" i="27" s="1"/>
  <c r="G16" i="26"/>
  <c r="L15" i="26"/>
  <c r="J15" i="26"/>
  <c r="G15" i="26"/>
  <c r="N15" i="26" s="1"/>
  <c r="O15" i="27" s="1"/>
  <c r="L14" i="26"/>
  <c r="J14" i="26"/>
  <c r="G14" i="26"/>
  <c r="L13" i="26"/>
  <c r="J13" i="26"/>
  <c r="G13" i="26"/>
  <c r="L12" i="26"/>
  <c r="J12" i="26"/>
  <c r="G12" i="26"/>
  <c r="L11" i="26"/>
  <c r="J11" i="26"/>
  <c r="G11" i="26"/>
  <c r="L10" i="26"/>
  <c r="J10" i="26"/>
  <c r="G10" i="26"/>
  <c r="L9" i="26"/>
  <c r="J9" i="26"/>
  <c r="G9" i="26"/>
  <c r="L8" i="26"/>
  <c r="J8" i="26"/>
  <c r="G8" i="26"/>
  <c r="L7" i="26"/>
  <c r="J7" i="26"/>
  <c r="G7" i="26"/>
  <c r="L6" i="26"/>
  <c r="J6" i="26"/>
  <c r="G6" i="26"/>
  <c r="L5" i="26"/>
  <c r="J5" i="26"/>
  <c r="G5" i="26"/>
  <c r="M6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5" i="25"/>
  <c r="M21" i="25"/>
  <c r="L20" i="25"/>
  <c r="J20" i="25"/>
  <c r="G20" i="25"/>
  <c r="L19" i="25"/>
  <c r="J19" i="25"/>
  <c r="G19" i="25"/>
  <c r="L18" i="25"/>
  <c r="J18" i="25"/>
  <c r="G18" i="25"/>
  <c r="L17" i="25"/>
  <c r="J17" i="25"/>
  <c r="G17" i="25"/>
  <c r="L16" i="25"/>
  <c r="J16" i="25"/>
  <c r="G16" i="25"/>
  <c r="L15" i="25"/>
  <c r="J15" i="25"/>
  <c r="G15" i="25"/>
  <c r="L14" i="25"/>
  <c r="J14" i="25"/>
  <c r="G14" i="25"/>
  <c r="L13" i="25"/>
  <c r="J13" i="25"/>
  <c r="G13" i="25"/>
  <c r="L12" i="25"/>
  <c r="J12" i="25"/>
  <c r="G12" i="25"/>
  <c r="L11" i="25"/>
  <c r="J11" i="25"/>
  <c r="G11" i="25"/>
  <c r="L10" i="25"/>
  <c r="J10" i="25"/>
  <c r="G10" i="25"/>
  <c r="L9" i="25"/>
  <c r="J9" i="25"/>
  <c r="G9" i="25"/>
  <c r="L8" i="25"/>
  <c r="J8" i="25"/>
  <c r="G8" i="25"/>
  <c r="L7" i="25"/>
  <c r="J7" i="25"/>
  <c r="G7" i="25"/>
  <c r="L6" i="25"/>
  <c r="J6" i="25"/>
  <c r="G6" i="25"/>
  <c r="L5" i="25"/>
  <c r="J5" i="25"/>
  <c r="G5" i="25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5" i="24"/>
  <c r="M21" i="24"/>
  <c r="L20" i="24"/>
  <c r="J20" i="24"/>
  <c r="G20" i="24"/>
  <c r="L19" i="24"/>
  <c r="J19" i="24"/>
  <c r="G19" i="24"/>
  <c r="L18" i="24"/>
  <c r="J18" i="24"/>
  <c r="G18" i="24"/>
  <c r="L17" i="24"/>
  <c r="J17" i="24"/>
  <c r="G17" i="24"/>
  <c r="N17" i="24" s="1"/>
  <c r="O17" i="25" s="1"/>
  <c r="L16" i="24"/>
  <c r="J16" i="24"/>
  <c r="G16" i="24"/>
  <c r="L15" i="24"/>
  <c r="J15" i="24"/>
  <c r="G15" i="24"/>
  <c r="N15" i="24" s="1"/>
  <c r="O15" i="25" s="1"/>
  <c r="L14" i="24"/>
  <c r="J14" i="24"/>
  <c r="G14" i="24"/>
  <c r="L13" i="24"/>
  <c r="J13" i="24"/>
  <c r="G13" i="24"/>
  <c r="L12" i="24"/>
  <c r="J12" i="24"/>
  <c r="G12" i="24"/>
  <c r="L11" i="24"/>
  <c r="J11" i="24"/>
  <c r="G11" i="24"/>
  <c r="L10" i="24"/>
  <c r="J10" i="24"/>
  <c r="G10" i="24"/>
  <c r="L9" i="24"/>
  <c r="J9" i="24"/>
  <c r="G9" i="24"/>
  <c r="L8" i="24"/>
  <c r="J8" i="24"/>
  <c r="G8" i="24"/>
  <c r="N8" i="24" s="1"/>
  <c r="O8" i="25" s="1"/>
  <c r="L7" i="24"/>
  <c r="J7" i="24"/>
  <c r="G7" i="24"/>
  <c r="L6" i="24"/>
  <c r="J6" i="24"/>
  <c r="G6" i="24"/>
  <c r="L5" i="24"/>
  <c r="J5" i="24"/>
  <c r="G5" i="24"/>
  <c r="M6" i="23"/>
  <c r="M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5" i="23"/>
  <c r="O6" i="23"/>
  <c r="O7" i="23"/>
  <c r="O8" i="23"/>
  <c r="O9" i="23"/>
  <c r="O10" i="23"/>
  <c r="O11" i="23"/>
  <c r="O12" i="23"/>
  <c r="O13" i="23"/>
  <c r="O14" i="23"/>
  <c r="O15" i="23"/>
  <c r="O16" i="23"/>
  <c r="O17" i="23"/>
  <c r="O18" i="23"/>
  <c r="O19" i="23"/>
  <c r="O20" i="23"/>
  <c r="O5" i="23"/>
  <c r="M21" i="23"/>
  <c r="L20" i="23"/>
  <c r="J20" i="23"/>
  <c r="G20" i="23"/>
  <c r="L19" i="23"/>
  <c r="J19" i="23"/>
  <c r="G19" i="23"/>
  <c r="L18" i="23"/>
  <c r="J18" i="23"/>
  <c r="G18" i="23"/>
  <c r="L17" i="23"/>
  <c r="J17" i="23"/>
  <c r="G17" i="23"/>
  <c r="N17" i="23" s="1"/>
  <c r="O17" i="24" s="1"/>
  <c r="L16" i="23"/>
  <c r="J16" i="23"/>
  <c r="G16" i="23"/>
  <c r="L15" i="23"/>
  <c r="J15" i="23"/>
  <c r="G15" i="23"/>
  <c r="L14" i="23"/>
  <c r="J14" i="23"/>
  <c r="G14" i="23"/>
  <c r="L13" i="23"/>
  <c r="J13" i="23"/>
  <c r="G13" i="23"/>
  <c r="L12" i="23"/>
  <c r="J12" i="23"/>
  <c r="G12" i="23"/>
  <c r="L11" i="23"/>
  <c r="J11" i="23"/>
  <c r="G11" i="23"/>
  <c r="L10" i="23"/>
  <c r="J10" i="23"/>
  <c r="G10" i="23"/>
  <c r="L9" i="23"/>
  <c r="J9" i="23"/>
  <c r="G9" i="23"/>
  <c r="L8" i="23"/>
  <c r="J8" i="23"/>
  <c r="G8" i="23"/>
  <c r="L7" i="23"/>
  <c r="J7" i="23"/>
  <c r="G7" i="23"/>
  <c r="L6" i="23"/>
  <c r="J6" i="23"/>
  <c r="G6" i="23"/>
  <c r="L5" i="23"/>
  <c r="J5" i="23"/>
  <c r="G5" i="23"/>
  <c r="N17" i="29" l="1"/>
  <c r="O17" i="30" s="1"/>
  <c r="N16" i="29"/>
  <c r="O16" i="30" s="1"/>
  <c r="N14" i="29"/>
  <c r="O14" i="30" s="1"/>
  <c r="N8" i="29"/>
  <c r="O8" i="30" s="1"/>
  <c r="N7" i="29"/>
  <c r="O7" i="30" s="1"/>
  <c r="N6" i="29"/>
  <c r="O6" i="30" s="1"/>
  <c r="N20" i="28"/>
  <c r="O20" i="29" s="1"/>
  <c r="N17" i="28"/>
  <c r="O17" i="29" s="1"/>
  <c r="N16" i="28"/>
  <c r="O16" i="29" s="1"/>
  <c r="N15" i="28"/>
  <c r="O15" i="29" s="1"/>
  <c r="N14" i="28"/>
  <c r="O14" i="29" s="1"/>
  <c r="N13" i="28"/>
  <c r="O13" i="29" s="1"/>
  <c r="N6" i="28"/>
  <c r="O6" i="29" s="1"/>
  <c r="N20" i="27"/>
  <c r="O20" i="28" s="1"/>
  <c r="N14" i="27"/>
  <c r="O14" i="28" s="1"/>
  <c r="N12" i="27"/>
  <c r="O12" i="28" s="1"/>
  <c r="N8" i="27"/>
  <c r="O8" i="28" s="1"/>
  <c r="N7" i="27"/>
  <c r="O7" i="28" s="1"/>
  <c r="N6" i="27"/>
  <c r="O6" i="28" s="1"/>
  <c r="N5" i="27"/>
  <c r="O5" i="28" s="1"/>
  <c r="N10" i="26"/>
  <c r="O10" i="27" s="1"/>
  <c r="N19" i="26"/>
  <c r="O19" i="27" s="1"/>
  <c r="N17" i="26"/>
  <c r="O17" i="27" s="1"/>
  <c r="N14" i="26"/>
  <c r="O14" i="27" s="1"/>
  <c r="N13" i="26"/>
  <c r="O13" i="27" s="1"/>
  <c r="N9" i="26"/>
  <c r="O9" i="27" s="1"/>
  <c r="N8" i="26"/>
  <c r="O8" i="27" s="1"/>
  <c r="N7" i="26"/>
  <c r="O7" i="27" s="1"/>
  <c r="N6" i="26"/>
  <c r="O6" i="27" s="1"/>
  <c r="N5" i="26"/>
  <c r="O5" i="27" s="1"/>
  <c r="N6" i="25"/>
  <c r="O6" i="26" s="1"/>
  <c r="N20" i="25"/>
  <c r="O20" i="26" s="1"/>
  <c r="N17" i="25"/>
  <c r="O17" i="26" s="1"/>
  <c r="N16" i="25"/>
  <c r="O16" i="26" s="1"/>
  <c r="N15" i="25"/>
  <c r="O15" i="26" s="1"/>
  <c r="N14" i="25"/>
  <c r="O14" i="26" s="1"/>
  <c r="N13" i="25"/>
  <c r="O13" i="26" s="1"/>
  <c r="N12" i="25"/>
  <c r="O12" i="26" s="1"/>
  <c r="N8" i="25"/>
  <c r="O8" i="26" s="1"/>
  <c r="N7" i="25"/>
  <c r="O7" i="26" s="1"/>
  <c r="N5" i="25"/>
  <c r="O5" i="26" s="1"/>
  <c r="N20" i="24"/>
  <c r="O20" i="25" s="1"/>
  <c r="N16" i="24"/>
  <c r="O16" i="25" s="1"/>
  <c r="N14" i="24"/>
  <c r="O14" i="25" s="1"/>
  <c r="N13" i="24"/>
  <c r="O13" i="25" s="1"/>
  <c r="N12" i="24"/>
  <c r="O12" i="25" s="1"/>
  <c r="N7" i="24"/>
  <c r="O7" i="25" s="1"/>
  <c r="N6" i="24"/>
  <c r="O6" i="25" s="1"/>
  <c r="N5" i="24"/>
  <c r="O5" i="25" s="1"/>
  <c r="N9" i="23"/>
  <c r="O9" i="24" s="1"/>
  <c r="N7" i="23"/>
  <c r="O7" i="24" s="1"/>
  <c r="N11" i="32"/>
  <c r="N20" i="32"/>
  <c r="N19" i="32"/>
  <c r="N12" i="32"/>
  <c r="N9" i="31"/>
  <c r="N18" i="31"/>
  <c r="N11" i="31"/>
  <c r="N20" i="31"/>
  <c r="N12" i="31"/>
  <c r="N17" i="30"/>
  <c r="N20" i="30"/>
  <c r="N18" i="30"/>
  <c r="N10" i="29"/>
  <c r="O10" i="30" s="1"/>
  <c r="N19" i="29"/>
  <c r="O19" i="30" s="1"/>
  <c r="N11" i="29"/>
  <c r="O11" i="30" s="1"/>
  <c r="N9" i="29"/>
  <c r="O9" i="30" s="1"/>
  <c r="N18" i="29"/>
  <c r="O18" i="30" s="1"/>
  <c r="N10" i="28"/>
  <c r="O10" i="29" s="1"/>
  <c r="N19" i="28"/>
  <c r="O19" i="29" s="1"/>
  <c r="N11" i="28"/>
  <c r="O11" i="29" s="1"/>
  <c r="N9" i="28"/>
  <c r="O9" i="29" s="1"/>
  <c r="N18" i="28"/>
  <c r="O18" i="29" s="1"/>
  <c r="N9" i="27"/>
  <c r="O9" i="28" s="1"/>
  <c r="N19" i="27"/>
  <c r="O19" i="28" s="1"/>
  <c r="N10" i="27"/>
  <c r="O10" i="28" s="1"/>
  <c r="N11" i="27"/>
  <c r="O11" i="28" s="1"/>
  <c r="N18" i="27"/>
  <c r="O18" i="28" s="1"/>
  <c r="N16" i="27"/>
  <c r="O16" i="28" s="1"/>
  <c r="N18" i="26"/>
  <c r="O18" i="27" s="1"/>
  <c r="N12" i="26"/>
  <c r="O12" i="27" s="1"/>
  <c r="N11" i="26"/>
  <c r="O11" i="27" s="1"/>
  <c r="N20" i="26"/>
  <c r="O20" i="27" s="1"/>
  <c r="N10" i="25"/>
  <c r="O10" i="26" s="1"/>
  <c r="N19" i="25"/>
  <c r="O19" i="26" s="1"/>
  <c r="N9" i="25"/>
  <c r="O9" i="26" s="1"/>
  <c r="N18" i="25"/>
  <c r="O18" i="26" s="1"/>
  <c r="N11" i="25"/>
  <c r="O11" i="26" s="1"/>
  <c r="N10" i="24"/>
  <c r="O10" i="25" s="1"/>
  <c r="N19" i="24"/>
  <c r="O19" i="25" s="1"/>
  <c r="N11" i="24"/>
  <c r="O11" i="25" s="1"/>
  <c r="N9" i="24"/>
  <c r="O9" i="25" s="1"/>
  <c r="N18" i="24"/>
  <c r="O18" i="25" s="1"/>
  <c r="N8" i="23"/>
  <c r="O8" i="24" s="1"/>
  <c r="N16" i="23"/>
  <c r="O16" i="24" s="1"/>
  <c r="N6" i="23"/>
  <c r="O6" i="24" s="1"/>
  <c r="N10" i="23"/>
  <c r="O10" i="24" s="1"/>
  <c r="N18" i="23"/>
  <c r="O18" i="24" s="1"/>
  <c r="N15" i="23"/>
  <c r="O15" i="24" s="1"/>
  <c r="N13" i="23"/>
  <c r="O13" i="24" s="1"/>
  <c r="N20" i="23"/>
  <c r="O20" i="24" s="1"/>
  <c r="N12" i="23"/>
  <c r="O12" i="24" s="1"/>
  <c r="N19" i="23"/>
  <c r="O19" i="24" s="1"/>
  <c r="N11" i="23"/>
  <c r="O11" i="24" s="1"/>
  <c r="N14" i="23"/>
  <c r="O14" i="24" s="1"/>
  <c r="N5" i="23"/>
  <c r="O5" i="24" s="1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6" i="22"/>
  <c r="M5" i="22"/>
  <c r="O6" i="22" l="1"/>
  <c r="O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5" i="22"/>
  <c r="K20" i="22"/>
  <c r="K19" i="22"/>
  <c r="L19" i="22" s="1"/>
  <c r="K18" i="22"/>
  <c r="L18" i="22" s="1"/>
  <c r="K17" i="22"/>
  <c r="L17" i="22" s="1"/>
  <c r="K16" i="22"/>
  <c r="L16" i="22" s="1"/>
  <c r="K15" i="22"/>
  <c r="L15" i="22" s="1"/>
  <c r="K14" i="22"/>
  <c r="K13" i="22"/>
  <c r="K12" i="22"/>
  <c r="L12" i="22" s="1"/>
  <c r="K11" i="22"/>
  <c r="K10" i="22"/>
  <c r="K9" i="22"/>
  <c r="K8" i="22"/>
  <c r="L8" i="22" s="1"/>
  <c r="K7" i="22"/>
  <c r="K6" i="22"/>
  <c r="K5" i="22"/>
  <c r="L5" i="22" s="1"/>
  <c r="M21" i="22"/>
  <c r="L20" i="22"/>
  <c r="J20" i="22"/>
  <c r="G20" i="22"/>
  <c r="J19" i="22"/>
  <c r="G19" i="22"/>
  <c r="J18" i="22"/>
  <c r="G18" i="22"/>
  <c r="N18" i="22" s="1"/>
  <c r="J17" i="22"/>
  <c r="G17" i="22"/>
  <c r="J16" i="22"/>
  <c r="G16" i="22"/>
  <c r="J15" i="22"/>
  <c r="G15" i="22"/>
  <c r="L14" i="22"/>
  <c r="J14" i="22"/>
  <c r="G14" i="22"/>
  <c r="N14" i="22" s="1"/>
  <c r="L13" i="22"/>
  <c r="J13" i="22"/>
  <c r="G13" i="22"/>
  <c r="J12" i="22"/>
  <c r="G12" i="22"/>
  <c r="L11" i="22"/>
  <c r="J11" i="22"/>
  <c r="G11" i="22"/>
  <c r="L10" i="22"/>
  <c r="J10" i="22"/>
  <c r="G10" i="22"/>
  <c r="N10" i="22" s="1"/>
  <c r="L9" i="22"/>
  <c r="J9" i="22"/>
  <c r="G9" i="22"/>
  <c r="J8" i="22"/>
  <c r="G8" i="22"/>
  <c r="L7" i="22"/>
  <c r="J7" i="22"/>
  <c r="G7" i="22"/>
  <c r="L6" i="22"/>
  <c r="J6" i="22"/>
  <c r="G6" i="22"/>
  <c r="N6" i="22" s="1"/>
  <c r="J5" i="22"/>
  <c r="G5" i="22"/>
  <c r="N8" i="22" l="1"/>
  <c r="N12" i="22"/>
  <c r="N5" i="22"/>
  <c r="N7" i="22"/>
  <c r="N9" i="22"/>
  <c r="N11" i="22"/>
  <c r="N13" i="22"/>
  <c r="N15" i="22"/>
  <c r="N17" i="22"/>
  <c r="N19" i="22"/>
  <c r="N20" i="22"/>
  <c r="N16" i="22"/>
  <c r="M6" i="20"/>
  <c r="M7" i="20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5" i="20"/>
  <c r="L6" i="20" l="1"/>
  <c r="K6" i="20"/>
  <c r="J6" i="20"/>
  <c r="L7" i="20"/>
  <c r="L8" i="20"/>
  <c r="L9" i="20"/>
  <c r="L10" i="20"/>
  <c r="L11" i="20"/>
  <c r="L12" i="20"/>
  <c r="L13" i="20"/>
  <c r="L14" i="20"/>
  <c r="L15" i="20"/>
  <c r="L16" i="20"/>
  <c r="L17" i="20"/>
  <c r="L18" i="20"/>
  <c r="L19" i="20"/>
  <c r="L20" i="20"/>
  <c r="L5" i="20"/>
  <c r="N6" i="20"/>
  <c r="K5" i="20" l="1"/>
  <c r="K20" i="20" l="1"/>
  <c r="K19" i="20"/>
  <c r="K18" i="20"/>
  <c r="K17" i="20"/>
  <c r="K16" i="20"/>
  <c r="K15" i="20"/>
  <c r="K14" i="20"/>
  <c r="K13" i="20"/>
  <c r="K12" i="20"/>
  <c r="K11" i="20"/>
  <c r="K10" i="20"/>
  <c r="K9" i="20"/>
  <c r="K8" i="20"/>
  <c r="K7" i="20"/>
  <c r="M21" i="20" l="1"/>
  <c r="J20" i="20"/>
  <c r="G20" i="20"/>
  <c r="J19" i="20"/>
  <c r="G19" i="20"/>
  <c r="J18" i="20"/>
  <c r="G18" i="20"/>
  <c r="J17" i="20"/>
  <c r="G17" i="20"/>
  <c r="J16" i="20"/>
  <c r="G16" i="20"/>
  <c r="J15" i="20"/>
  <c r="G15" i="20"/>
  <c r="J14" i="20"/>
  <c r="G14" i="20"/>
  <c r="J13" i="20"/>
  <c r="G13" i="20"/>
  <c r="J12" i="20"/>
  <c r="G12" i="20"/>
  <c r="J11" i="20"/>
  <c r="G11" i="20"/>
  <c r="J10" i="20"/>
  <c r="G10" i="20"/>
  <c r="J9" i="20"/>
  <c r="G9" i="20"/>
  <c r="J8" i="20"/>
  <c r="G8" i="20"/>
  <c r="J7" i="20"/>
  <c r="G7" i="20"/>
  <c r="G6" i="20"/>
  <c r="J5" i="20"/>
  <c r="G5" i="20"/>
  <c r="N14" i="20" l="1"/>
  <c r="N11" i="20"/>
  <c r="N7" i="20"/>
  <c r="N20" i="20"/>
  <c r="N19" i="20"/>
  <c r="N18" i="20"/>
  <c r="N17" i="20"/>
  <c r="N16" i="20"/>
  <c r="N15" i="20"/>
  <c r="N13" i="20"/>
  <c r="N12" i="20"/>
  <c r="N10" i="20"/>
  <c r="N9" i="20"/>
  <c r="N8" i="20"/>
  <c r="N5" i="20"/>
</calcChain>
</file>

<file path=xl/sharedStrings.xml><?xml version="1.0" encoding="utf-8"?>
<sst xmlns="http://schemas.openxmlformats.org/spreadsheetml/2006/main" count="903" uniqueCount="96">
  <si>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</si>
  <si>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t>4. ถ้า NWC เป็นบวก แต่ NI+Depreciation เป็นลบ      Suvive Index จะ = ประเมินโดยใช้ NWC/ANI</t>
  </si>
  <si>
    <t>2. ถ้า NWC และ NI+Depreciation ติดลบ      Suvive Index จะ = 2</t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</si>
  <si>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</si>
  <si>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t>หนี้สินหมุนเวียน</t>
  </si>
  <si>
    <t>มาจากงบดุล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</si>
  <si>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</si>
  <si>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t xml:space="preserve">เงินสดที่ปลอดภาระ         </t>
  </si>
  <si>
    <t>Cash = Cash ration = เงินสด / หนี้สินหมุนเวียน = &gt;0.8</t>
  </si>
  <si>
    <t>QR = Quick ration = เงินสด + ลูกหนี้สุทธิ / หนี้สินหมุนเวียน = &gt;1.0</t>
  </si>
  <si>
    <t xml:space="preserve">สินทรัพย์หมุนเวียน    </t>
  </si>
  <si>
    <t>CR = Current ratio = สินทรัพย์หมุนเวียน / หนี้สินหมุนเวียน = &gt;1.5</t>
  </si>
  <si>
    <t>เทียบจาก GL</t>
  </si>
  <si>
    <t>บ้านแพรก,รพช.</t>
  </si>
  <si>
    <t>มหาราช,รพช.</t>
  </si>
  <si>
    <t>อุทัย,รพช.</t>
  </si>
  <si>
    <t>บางซ้าย,รพช.</t>
  </si>
  <si>
    <t>วังน้อย,รพช.</t>
  </si>
  <si>
    <t>ลาดบัวหลวง</t>
  </si>
  <si>
    <t>ภาชี,รพช</t>
  </si>
  <si>
    <t>ผักไห่,รพช.</t>
  </si>
  <si>
    <t>บางปะหัน,รพช.</t>
  </si>
  <si>
    <t>บางปะอิน,รพช.</t>
  </si>
  <si>
    <t>บางบาล,รพช.</t>
  </si>
  <si>
    <t>บางไทร,รพช.</t>
  </si>
  <si>
    <t>สมเด็จฯ,รพช.</t>
  </si>
  <si>
    <t>ท่าเรือ,รพช.</t>
  </si>
  <si>
    <t>รพท.</t>
  </si>
  <si>
    <t>รพศ.</t>
  </si>
  <si>
    <t>น้ำหนักคะแนน</t>
  </si>
  <si>
    <t xml:space="preserve">       Nwc/ANI          &lt;3เดือน Risk=2    &lt;6เดือน Risk=1   มากกว่า6 เดือน=0</t>
  </si>
  <si>
    <t xml:space="preserve">ANI กำไร(ขาดทุน) หาร จำนวนเดือน </t>
  </si>
  <si>
    <t>NI กำไร(ขาดทุน) รวมค่าเสื่อม
(-)</t>
  </si>
  <si>
    <t>NWC
ทุนสำรอง (-)</t>
  </si>
  <si>
    <t>Cash
มากกว่า(0.80)</t>
  </si>
  <si>
    <t>QR
มากกว่า(1.00)</t>
  </si>
  <si>
    <t>CR
มากกว่า(1.50)</t>
  </si>
  <si>
    <t>เงินบำรุงคงเหลือหักหนี้แล้ว (105)</t>
  </si>
  <si>
    <t>ประเภทความเสี่ยง Survive Index  (ดัชนีวัดความอยู่รอด)</t>
  </si>
  <si>
    <t>ประเภทความเสี่ยง status Index  (ดัชนีวัดสถานะทางการเงิน)</t>
  </si>
  <si>
    <t>ประเภทความเสี่ยง Liquid Index (ดัชนีวัดสภาพคล่องทางการเงิน)</t>
  </si>
  <si>
    <t>Org</t>
  </si>
  <si>
    <t>nwc</t>
  </si>
  <si>
    <t>ni</t>
  </si>
  <si>
    <t>เงินบำรุงคงเหลือหักหนี้</t>
  </si>
  <si>
    <r>
      <t xml:space="preserve">เงินสดและลูกหนี้           </t>
    </r>
    <r>
      <rPr>
        <b/>
        <sz val="18"/>
        <color indexed="56"/>
        <rFont val="TH SarabunPSK"/>
        <family val="2"/>
      </rPr>
      <t xml:space="preserve"> </t>
    </r>
  </si>
  <si>
    <r>
      <t xml:space="preserve">หนี้สินที่ชำระด้วยเงินสด               </t>
    </r>
    <r>
      <rPr>
        <b/>
        <sz val="18"/>
        <color indexed="56"/>
        <rFont val="TH SarabunPSK"/>
        <family val="2"/>
      </rPr>
      <t>"</t>
    </r>
  </si>
  <si>
    <r>
      <t xml:space="preserve">สินทรัพย์หมุนเวียน        </t>
    </r>
    <r>
      <rPr>
        <b/>
        <sz val="18"/>
        <color indexed="56"/>
        <rFont val="TH SarabunPSK"/>
        <family val="2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</si>
  <si>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indexed="30"/>
        <rFont val="TH SarabunPSK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</si>
  <si>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</si>
  <si>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</si>
  <si>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TH SarabunPSK"/>
        <family val="2"/>
      </rPr>
      <t>ประเมิณโดย</t>
    </r>
    <r>
      <rPr>
        <b/>
        <sz val="18"/>
        <color indexed="8"/>
        <rFont val="TH SarabunPSK"/>
        <family val="2"/>
      </rPr>
      <t xml:space="preserve">  </t>
    </r>
    <r>
      <rPr>
        <sz val="18"/>
        <color indexed="8"/>
        <rFont val="TH SarabunPSK"/>
        <family val="2"/>
      </rPr>
      <t>1. ถ้า Status Index = 0       Suvive Index จะ = 0  (</t>
    </r>
    <r>
      <rPr>
        <sz val="18"/>
        <color indexed="30"/>
        <rFont val="TH SarabunPSK"/>
        <family val="2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</si>
  <si>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indexed="10"/>
        <rFont val="TH SarabunPSK"/>
        <family val="2"/>
      </rPr>
      <t>(7 คะแนน = วิกฤติมากสุด)</t>
    </r>
    <r>
      <rPr>
        <b/>
        <sz val="18"/>
        <color indexed="30"/>
        <rFont val="TH SarabunPSK"/>
        <family val="2"/>
      </rPr>
      <t>(0 คะแนน = ภาวะปกติ)</t>
    </r>
  </si>
  <si>
    <t>ข้อมูล ณ วันที่</t>
  </si>
  <si>
    <t>3. ถ้า NWC ติดลบ แต่ NI+Depreciation เป็นบวก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</si>
  <si>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0 คะแนน)(4-6 เดือน = 1 คะแนน)(6 เดือนขึ้นไป = 2 คะแนน)</t>
  </si>
  <si>
    <t>ผลการประเมินภาวะวิกฤติ เดือน ตุลาคม  ปีงบประมาณ 2562</t>
  </si>
  <si>
    <t>Risk Scoring ต.ค.62</t>
  </si>
  <si>
    <t>Risk Scoring เดือน ก.ย.62</t>
  </si>
  <si>
    <t>ผลการประเมินภาวะวิกฤติ เดือน พฤศจิกายน ปีงบประมาณ 2562</t>
  </si>
  <si>
    <t>Risk Scoring พ.ย.62</t>
  </si>
  <si>
    <t>Risk Scoring เดือน ต.ค.62</t>
  </si>
  <si>
    <t>ผลการประเมินภาวะวิกฤติ เดือน ธันวาคม ปีงบประมาณ 2562</t>
  </si>
  <si>
    <t>Risk Scoring ธ.ค.62</t>
  </si>
  <si>
    <t>Risk Scoring เดือน พ.ย.62</t>
  </si>
  <si>
    <t>ผลการประเมินภาวะวิกฤติ เดือน มกราคม ปีงบประมาณ 2563</t>
  </si>
  <si>
    <t>Risk Scoring ม.ค.63</t>
  </si>
  <si>
    <t>Risk Scoring เดือน ธ.ค.62</t>
  </si>
  <si>
    <t>ผลการประเมินภาวะวิกฤติ เดือน กุมภาพันธ์ ปีงบประมาณ 2563</t>
  </si>
  <si>
    <t>Risk Scoring ก.พ.63</t>
  </si>
  <si>
    <t>ผลการประเมินภาวะวิกฤติ เดือน มีนาคม ปีงบประมาณ 2563</t>
  </si>
  <si>
    <t>Risk Scoring มี.ค.63</t>
  </si>
  <si>
    <t>ผลการประเมินภาวะวิกฤติ เดือน เมษายน ปีงบประมาณ 2563</t>
  </si>
  <si>
    <t>Risk Scoring เม.ย.63</t>
  </si>
  <si>
    <t>ผลการประเมินภาวะวิกฤติ เดือน พฤษภาคม ปีงบประมาณ 2563</t>
  </si>
  <si>
    <t>Risk Scoring พ.ค.63</t>
  </si>
  <si>
    <t>Risk Scoring เดือน เม.ย.63</t>
  </si>
  <si>
    <t>Risk Scoring เดือน มี.ค.63</t>
  </si>
  <si>
    <t>Risk Scoring เดือน ก.พ.63</t>
  </si>
  <si>
    <t>Risk Scoring เดือน ม.ค.63</t>
  </si>
  <si>
    <t>ผลการประเมินภาวะวิกฤติ เดือน มิถุนายน ปีงบประมาณ 2563</t>
  </si>
  <si>
    <t>Risk Scoring มิ.ย.63</t>
  </si>
  <si>
    <t>Risk Scoring เดือน พ.ค.63</t>
  </si>
  <si>
    <t>ผลการประเมินภาวะวิกฤติ เดือน กรกฏาคม ปีงบประมาณ 2563</t>
  </si>
  <si>
    <t>Risk Scoring ก.ค.63</t>
  </si>
  <si>
    <t>Risk Scoring เดือน มิ.ย.63</t>
  </si>
  <si>
    <t>ผลการประเมินภาวะวิกฤติ เดือน สิงหาคม ปีงบประมาณ 2563</t>
  </si>
  <si>
    <t>Risk Scoring ส.ค.63</t>
  </si>
  <si>
    <t>Risk Scoring เดือน ก.ค.63</t>
  </si>
  <si>
    <t>ผลการประเมินภาวะวิกฤติ เดือน กันยายน ปีงบประมาณ 2563</t>
  </si>
  <si>
    <t>Risk Scoring ก.ย.63</t>
  </si>
  <si>
    <t>Risk Scoring เดือน ส.ค.63</t>
  </si>
  <si>
    <t>EBITDA</t>
  </si>
  <si>
    <t>ผลการประเมินภาวะวิกฤติ โรงพยาบาลมหาราช ปีงบประมาณ 2563</t>
  </si>
  <si>
    <t xml:space="preserve">Risk Scoring </t>
  </si>
  <si>
    <t>ผลการประเมินภาวะวิกฤติ โรงพยาบาลบ้านแพรก ปีงบประมาณ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</si>
</sst>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_-;\-* #,##0_-;_-* &quot;-&quot;??_-;_-@_-"/>
    <numFmt numFmtId="165" formatCode="#,##0.00_ ;\-#,##0.00\ "/>
    <numFmt numFmtId="166" formatCode="0.0"/>
    <numFmt numFmtId="167" formatCode="#,##0.00,,"/>
    <numFmt numFmtId="168" formatCode="[$-1070000]d/mm/yyyy;@"/>
  </numFmts>
  <fonts count="3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rgb="FF000000"/>
      <name val="TH SarabunPSK"/>
      <family val="2"/>
    </font>
    <font>
      <sz val="16"/>
      <color theme="1"/>
      <name val="TH SarabunPSK"/>
      <family val="2"/>
    </font>
    <font>
      <sz val="20"/>
      <color theme="1"/>
      <name val="TH SarabunPSK"/>
      <family val="2"/>
    </font>
    <font>
      <b/>
      <sz val="18"/>
      <color rgb="FF000000"/>
      <name val="TH SarabunPSK"/>
      <family val="2"/>
    </font>
    <font>
      <sz val="10"/>
      <name val="Arial"/>
      <family val="2"/>
    </font>
    <font>
      <sz val="10"/>
      <color indexed="8"/>
      <name val="Tahoma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indexed="8"/>
      <name val="TH SarabunPSK"/>
      <family val="2"/>
    </font>
    <font>
      <sz val="18"/>
      <color rgb="FF000000"/>
      <name val="TH SarabunPSK"/>
      <family val="2"/>
    </font>
    <font>
      <b/>
      <i/>
      <sz val="18"/>
      <color indexed="8"/>
      <name val="TH SarabunPSK"/>
      <family val="2"/>
    </font>
    <font>
      <b/>
      <sz val="18"/>
      <color rgb="FF002060"/>
      <name val="TH SarabunPSK"/>
      <family val="2"/>
    </font>
    <font>
      <sz val="18"/>
      <color rgb="FF002060"/>
      <name val="TH SarabunPSK"/>
      <family val="2"/>
    </font>
    <font>
      <b/>
      <sz val="18"/>
      <color indexed="56"/>
      <name val="TH SarabunPSK"/>
      <family val="2"/>
    </font>
    <font>
      <b/>
      <sz val="18"/>
      <color indexed="30"/>
      <name val="TH SarabunPSK"/>
      <family val="2"/>
    </font>
    <font>
      <u/>
      <sz val="18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30"/>
      <name val="TH SarabunPSK"/>
      <family val="2"/>
    </font>
    <font>
      <b/>
      <sz val="18"/>
      <color rgb="FF0070C0"/>
      <name val="TH SarabunPSK"/>
      <family val="2"/>
    </font>
    <font>
      <b/>
      <sz val="18"/>
      <color indexed="10"/>
      <name val="TH SarabunPSK"/>
      <family val="2"/>
    </font>
    <font>
      <b/>
      <sz val="36"/>
      <color theme="1"/>
      <name val="TH SarabunPSK"/>
      <family val="2"/>
    </font>
    <font>
      <b/>
      <sz val="18"/>
      <color rgb="FF0000FF"/>
      <name val="TH SarabunPSK"/>
      <family val="2"/>
    </font>
    <font>
      <sz val="10"/>
      <color indexed="8"/>
      <name val="Tahoma"/>
      <family val="2"/>
    </font>
    <font>
      <b/>
      <sz val="18"/>
      <color rgb="FFF5273B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rgb="FF4BACC6"/>
      </left>
      <right/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/>
      <right/>
      <top/>
      <bottom style="medium">
        <color rgb="FF4BACC6"/>
      </bottom>
      <diagonal/>
    </border>
    <border>
      <left style="medium">
        <color theme="8" tint="0.39991454817346722"/>
      </left>
      <right style="medium">
        <color theme="8" tint="0.39991454817346722"/>
      </right>
      <top/>
      <bottom style="medium">
        <color theme="8" tint="0.39991454817346722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theme="8" tint="0.39991454817346722"/>
      </left>
      <right/>
      <top style="medium">
        <color theme="8" tint="0.39991454817346722"/>
      </top>
      <bottom style="medium">
        <color theme="8" tint="0.39991454817346722"/>
      </bottom>
      <diagonal/>
    </border>
    <border>
      <left/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/>
      <right style="medium">
        <color theme="8" tint="0.39997558519241921"/>
      </right>
      <top/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/>
      <bottom style="medium">
        <color theme="8" tint="0.39997558519241921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 style="medium">
        <color theme="8" tint="0.39997558519241921"/>
      </left>
      <right/>
      <top style="medium">
        <color theme="8" tint="0.39997558519241921"/>
      </top>
      <bottom style="medium">
        <color theme="8" tint="0.39997558519241921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8" tint="0.39997558519241921"/>
      </left>
      <right/>
      <top style="medium">
        <color theme="8"/>
      </top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/>
      <diagonal/>
    </border>
    <border>
      <left style="medium">
        <color theme="8" tint="0.39997558519241921"/>
      </left>
      <right style="medium">
        <color theme="8" tint="0.39997558519241921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9" fillId="0" borderId="0"/>
    <xf numFmtId="0" fontId="28" fillId="0" borderId="0"/>
  </cellStyleXfs>
  <cellXfs count="151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0" fontId="2" fillId="0" borderId="0" xfId="0" applyFont="1" applyAlignment="1"/>
    <xf numFmtId="0" fontId="4" fillId="0" borderId="5" xfId="0" applyFont="1" applyBorder="1" applyAlignment="1">
      <alignment horizontal="left" wrapText="1" readingOrder="1"/>
    </xf>
    <xf numFmtId="167" fontId="2" fillId="0" borderId="0" xfId="0" applyNumberFormat="1" applyFont="1" applyAlignment="1"/>
    <xf numFmtId="167" fontId="2" fillId="0" borderId="0" xfId="0" applyNumberFormat="1" applyFont="1"/>
    <xf numFmtId="167" fontId="2" fillId="0" borderId="1" xfId="0" applyNumberFormat="1" applyFont="1" applyBorder="1"/>
    <xf numFmtId="167" fontId="2" fillId="0" borderId="1" xfId="0" applyNumberFormat="1" applyFont="1" applyBorder="1" applyAlignment="1"/>
    <xf numFmtId="0" fontId="13" fillId="0" borderId="0" xfId="0" applyFont="1"/>
    <xf numFmtId="2" fontId="13" fillId="0" borderId="0" xfId="0" applyNumberFormat="1" applyFont="1"/>
    <xf numFmtId="17" fontId="13" fillId="0" borderId="0" xfId="0" applyNumberFormat="1" applyFont="1" applyBorder="1" applyAlignment="1">
      <alignment horizontal="center"/>
    </xf>
    <xf numFmtId="43" fontId="13" fillId="0" borderId="0" xfId="1" applyFont="1" applyFill="1" applyBorder="1"/>
    <xf numFmtId="43" fontId="13" fillId="0" borderId="0" xfId="1" applyFont="1"/>
    <xf numFmtId="43" fontId="17" fillId="0" borderId="0" xfId="1" applyFont="1" applyFill="1" applyBorder="1" applyAlignment="1">
      <alignment horizontal="center" vertical="center"/>
    </xf>
    <xf numFmtId="164" fontId="17" fillId="0" borderId="0" xfId="1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43" fontId="18" fillId="0" borderId="1" xfId="1" applyFont="1" applyFill="1" applyBorder="1" applyAlignment="1"/>
    <xf numFmtId="43" fontId="18" fillId="0" borderId="1" xfId="1" applyFont="1" applyBorder="1" applyAlignment="1"/>
    <xf numFmtId="0" fontId="13" fillId="0" borderId="0" xfId="0" applyFont="1" applyAlignment="1">
      <alignment horizontal="left" vertical="center"/>
    </xf>
    <xf numFmtId="43" fontId="18" fillId="0" borderId="1" xfId="1" applyFont="1" applyFill="1" applyBorder="1" applyAlignment="1">
      <alignment vertical="center"/>
    </xf>
    <xf numFmtId="43" fontId="18" fillId="0" borderId="4" xfId="1" applyFont="1" applyBorder="1" applyAlignment="1"/>
    <xf numFmtId="0" fontId="10" fillId="0" borderId="0" xfId="0" applyFont="1" applyAlignment="1">
      <alignment vertical="top"/>
    </xf>
    <xf numFmtId="43" fontId="18" fillId="0" borderId="2" xfId="1" applyFont="1" applyBorder="1" applyAlignment="1">
      <alignment horizontal="left" vertical="center"/>
    </xf>
    <xf numFmtId="43" fontId="18" fillId="0" borderId="2" xfId="1" applyFont="1" applyBorder="1" applyAlignment="1">
      <alignment vertical="center"/>
    </xf>
    <xf numFmtId="164" fontId="17" fillId="0" borderId="2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43" fontId="18" fillId="0" borderId="0" xfId="1" applyFont="1"/>
    <xf numFmtId="43" fontId="24" fillId="0" borderId="0" xfId="1" applyFont="1" applyFill="1"/>
    <xf numFmtId="0" fontId="24" fillId="0" borderId="0" xfId="0" applyFont="1" applyFill="1" applyAlignment="1">
      <alignment horizontal="center"/>
    </xf>
    <xf numFmtId="43" fontId="18" fillId="0" borderId="3" xfId="1" applyFont="1" applyBorder="1" applyAlignment="1">
      <alignment horizontal="left" vertical="center"/>
    </xf>
    <xf numFmtId="43" fontId="17" fillId="0" borderId="4" xfId="1" applyFont="1" applyBorder="1" applyAlignment="1">
      <alignment horizontal="center" vertical="center"/>
    </xf>
    <xf numFmtId="0" fontId="10" fillId="0" borderId="0" xfId="0" applyFont="1" applyBorder="1"/>
    <xf numFmtId="0" fontId="13" fillId="0" borderId="13" xfId="0" applyFont="1" applyBorder="1" applyAlignment="1">
      <alignment horizontal="center"/>
    </xf>
    <xf numFmtId="168" fontId="10" fillId="0" borderId="0" xfId="0" applyNumberFormat="1" applyFont="1" applyBorder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 wrapText="1" readingOrder="1"/>
    </xf>
    <xf numFmtId="165" fontId="11" fillId="2" borderId="14" xfId="0" applyNumberFormat="1" applyFont="1" applyFill="1" applyBorder="1" applyAlignment="1">
      <alignment horizontal="center" vertical="center" wrapText="1" readingOrder="1"/>
    </xf>
    <xf numFmtId="3" fontId="10" fillId="0" borderId="14" xfId="0" applyNumberFormat="1" applyFont="1" applyFill="1" applyBorder="1" applyAlignment="1">
      <alignment horizontal="center" vertical="center" wrapText="1" readingOrder="1"/>
    </xf>
    <xf numFmtId="0" fontId="12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 readingOrder="1"/>
    </xf>
    <xf numFmtId="0" fontId="7" fillId="0" borderId="15" xfId="0" applyFont="1" applyFill="1" applyBorder="1" applyAlignment="1">
      <alignment horizontal="left" vertical="center" wrapText="1" readingOrder="1"/>
    </xf>
    <xf numFmtId="0" fontId="6" fillId="0" borderId="6" xfId="0" applyFont="1" applyBorder="1" applyAlignment="1">
      <alignment vertical="center"/>
    </xf>
    <xf numFmtId="4" fontId="12" fillId="0" borderId="14" xfId="0" applyNumberFormat="1" applyFont="1" applyFill="1" applyBorder="1" applyAlignment="1">
      <alignment horizontal="center" vertical="center" wrapText="1" readingOrder="1"/>
    </xf>
    <xf numFmtId="43" fontId="17" fillId="0" borderId="4" xfId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43" fontId="17" fillId="0" borderId="4" xfId="1" applyFont="1" applyBorder="1" applyAlignment="1">
      <alignment horizontal="center" vertical="center"/>
    </xf>
    <xf numFmtId="0" fontId="13" fillId="0" borderId="0" xfId="0" applyFont="1" applyBorder="1" applyAlignment="1"/>
    <xf numFmtId="0" fontId="7" fillId="0" borderId="14" xfId="0" applyFont="1" applyBorder="1" applyAlignment="1">
      <alignment horizontal="left" vertical="center" wrapText="1" readingOrder="1"/>
    </xf>
    <xf numFmtId="0" fontId="7" fillId="0" borderId="14" xfId="0" applyFont="1" applyFill="1" applyBorder="1" applyAlignment="1">
      <alignment horizontal="left" vertical="center" wrapText="1" readingOrder="1"/>
    </xf>
    <xf numFmtId="0" fontId="12" fillId="0" borderId="14" xfId="0" applyFont="1" applyFill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4" fontId="12" fillId="0" borderId="14" xfId="0" applyNumberFormat="1" applyFont="1" applyFill="1" applyBorder="1" applyAlignment="1">
      <alignment horizontal="center" wrapText="1" readingOrder="1"/>
    </xf>
    <xf numFmtId="165" fontId="11" fillId="2" borderId="14" xfId="0" applyNumberFormat="1" applyFont="1" applyFill="1" applyBorder="1" applyAlignment="1">
      <alignment horizontal="center" wrapText="1" readingOrder="1"/>
    </xf>
    <xf numFmtId="0" fontId="10" fillId="0" borderId="14" xfId="0" applyFont="1" applyBorder="1" applyAlignment="1">
      <alignment horizontal="center"/>
    </xf>
    <xf numFmtId="3" fontId="10" fillId="0" borderId="14" xfId="0" applyNumberFormat="1" applyFont="1" applyFill="1" applyBorder="1" applyAlignment="1">
      <alignment horizontal="center" wrapText="1" readingOrder="1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4" fontId="10" fillId="0" borderId="14" xfId="0" applyNumberFormat="1" applyFont="1" applyFill="1" applyBorder="1" applyAlignment="1">
      <alignment horizontal="center" wrapText="1" readingOrder="1"/>
    </xf>
    <xf numFmtId="4" fontId="27" fillId="0" borderId="14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4" fontId="12" fillId="0" borderId="14" xfId="0" applyNumberFormat="1" applyFont="1" applyFill="1" applyBorder="1" applyAlignment="1">
      <alignment horizontal="center"/>
    </xf>
    <xf numFmtId="4" fontId="11" fillId="0" borderId="14" xfId="0" applyNumberFormat="1" applyFont="1" applyFill="1" applyBorder="1" applyAlignment="1">
      <alignment horizontal="center"/>
    </xf>
    <xf numFmtId="4" fontId="27" fillId="0" borderId="14" xfId="0" applyNumberFormat="1" applyFont="1" applyFill="1" applyBorder="1" applyAlignment="1">
      <alignment horizontal="center"/>
    </xf>
    <xf numFmtId="3" fontId="10" fillId="0" borderId="20" xfId="0" applyNumberFormat="1" applyFont="1" applyFill="1" applyBorder="1" applyAlignment="1">
      <alignment horizontal="center" vertical="center" wrapText="1" readingOrder="1"/>
    </xf>
    <xf numFmtId="4" fontId="12" fillId="0" borderId="17" xfId="0" applyNumberFormat="1" applyFont="1" applyBorder="1" applyAlignment="1">
      <alignment horizontal="center"/>
    </xf>
    <xf numFmtId="4" fontId="11" fillId="0" borderId="16" xfId="0" applyNumberFormat="1" applyFont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3" fontId="10" fillId="0" borderId="22" xfId="0" applyNumberFormat="1" applyFont="1" applyFill="1" applyBorder="1" applyAlignment="1">
      <alignment horizontal="center" vertical="center" wrapText="1" readingOrder="1"/>
    </xf>
    <xf numFmtId="4" fontId="27" fillId="0" borderId="14" xfId="4" applyNumberFormat="1" applyFont="1" applyFill="1" applyBorder="1" applyAlignment="1">
      <alignment horizontal="center" wrapText="1"/>
    </xf>
    <xf numFmtId="4" fontId="11" fillId="0" borderId="14" xfId="4" applyNumberFormat="1" applyFont="1" applyFill="1" applyBorder="1" applyAlignment="1">
      <alignment horizontal="center" wrapText="1"/>
    </xf>
    <xf numFmtId="0" fontId="10" fillId="0" borderId="0" xfId="0" applyFont="1" applyBorder="1" applyAlignment="1"/>
    <xf numFmtId="14" fontId="10" fillId="0" borderId="0" xfId="0" applyNumberFormat="1" applyFont="1" applyBorder="1" applyAlignment="1">
      <alignment horizontal="left"/>
    </xf>
    <xf numFmtId="14" fontId="13" fillId="0" borderId="0" xfId="0" applyNumberFormat="1" applyFont="1" applyBorder="1" applyAlignment="1">
      <alignment horizontal="left"/>
    </xf>
    <xf numFmtId="0" fontId="29" fillId="0" borderId="14" xfId="0" applyFont="1" applyBorder="1" applyAlignment="1">
      <alignment horizontal="center" vertical="center"/>
    </xf>
    <xf numFmtId="4" fontId="29" fillId="0" borderId="14" xfId="0" applyNumberFormat="1" applyFont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4" fontId="29" fillId="0" borderId="14" xfId="0" applyNumberFormat="1" applyFont="1" applyFill="1" applyBorder="1" applyAlignment="1">
      <alignment horizontal="center" vertical="center" wrapText="1" readingOrder="1"/>
    </xf>
    <xf numFmtId="2" fontId="29" fillId="0" borderId="14" xfId="0" applyNumberFormat="1" applyFont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4" fontId="27" fillId="0" borderId="14" xfId="0" applyNumberFormat="1" applyFont="1" applyBorder="1" applyAlignment="1">
      <alignment horizontal="center" vertical="center"/>
    </xf>
    <xf numFmtId="43" fontId="17" fillId="0" borderId="4" xfId="1" applyFont="1" applyBorder="1" applyAlignment="1">
      <alignment horizontal="center" vertical="center"/>
    </xf>
    <xf numFmtId="43" fontId="17" fillId="0" borderId="4" xfId="1" applyFont="1" applyBorder="1" applyAlignment="1">
      <alignment horizontal="center" vertical="center"/>
    </xf>
    <xf numFmtId="17" fontId="4" fillId="0" borderId="14" xfId="0" applyNumberFormat="1" applyFont="1" applyBorder="1" applyAlignment="1">
      <alignment horizontal="center" vertical="center" wrapText="1" readingOrder="1"/>
    </xf>
    <xf numFmtId="17" fontId="4" fillId="0" borderId="14" xfId="0" applyNumberFormat="1" applyFont="1" applyFill="1" applyBorder="1" applyAlignment="1">
      <alignment horizontal="center" vertical="center" wrapText="1" readingOrder="1"/>
    </xf>
    <xf numFmtId="0" fontId="4" fillId="0" borderId="14" xfId="0" applyFont="1" applyFill="1" applyBorder="1" applyAlignment="1">
      <alignment horizontal="center" vertical="center" wrapText="1" readingOrder="1"/>
    </xf>
    <xf numFmtId="0" fontId="26" fillId="0" borderId="12" xfId="0" applyFont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wrapText="1" readingOrder="1"/>
    </xf>
    <xf numFmtId="0" fontId="7" fillId="7" borderId="8" xfId="0" applyFont="1" applyFill="1" applyBorder="1" applyAlignment="1">
      <alignment horizontal="center" vertical="center" wrapText="1" readingOrder="1"/>
    </xf>
    <xf numFmtId="3" fontId="14" fillId="11" borderId="11" xfId="0" applyNumberFormat="1" applyFont="1" applyFill="1" applyBorder="1" applyAlignment="1" applyProtection="1">
      <alignment horizontal="center" vertical="center" wrapText="1"/>
    </xf>
    <xf numFmtId="3" fontId="14" fillId="10" borderId="11" xfId="0" applyNumberFormat="1" applyFont="1" applyFill="1" applyBorder="1" applyAlignment="1" applyProtection="1">
      <alignment horizontal="center" vertical="center" wrapText="1"/>
    </xf>
    <xf numFmtId="3" fontId="14" fillId="6" borderId="11" xfId="0" applyNumberFormat="1" applyFont="1" applyFill="1" applyBorder="1" applyAlignment="1" applyProtection="1">
      <alignment horizontal="center" vertical="center" wrapText="1"/>
    </xf>
    <xf numFmtId="3" fontId="14" fillId="3" borderId="10" xfId="0" applyNumberFormat="1" applyFont="1" applyFill="1" applyBorder="1" applyAlignment="1" applyProtection="1">
      <alignment horizontal="center" vertical="center" wrapText="1"/>
    </xf>
    <xf numFmtId="3" fontId="14" fillId="3" borderId="7" xfId="0" applyNumberFormat="1" applyFont="1" applyFill="1" applyBorder="1" applyAlignment="1" applyProtection="1">
      <alignment horizontal="center" vertical="center" wrapText="1"/>
    </xf>
    <xf numFmtId="166" fontId="16" fillId="6" borderId="8" xfId="0" applyNumberFormat="1" applyFont="1" applyFill="1" applyBorder="1" applyAlignment="1" applyProtection="1">
      <alignment horizontal="center" vertical="center" wrapText="1"/>
    </xf>
    <xf numFmtId="166" fontId="16" fillId="6" borderId="9" xfId="0" applyNumberFormat="1" applyFont="1" applyFill="1" applyBorder="1" applyAlignment="1" applyProtection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 readingOrder="1"/>
    </xf>
    <xf numFmtId="0" fontId="15" fillId="7" borderId="8" xfId="0" applyFont="1" applyFill="1" applyBorder="1" applyAlignment="1">
      <alignment horizontal="center" vertical="center" wrapText="1" readingOrder="1"/>
    </xf>
    <xf numFmtId="3" fontId="16" fillId="9" borderId="11" xfId="0" applyNumberFormat="1" applyFont="1" applyFill="1" applyBorder="1" applyAlignment="1" applyProtection="1">
      <alignment horizontal="center" vertical="center" wrapText="1"/>
    </xf>
    <xf numFmtId="3" fontId="16" fillId="9" borderId="8" xfId="0" applyNumberFormat="1" applyFont="1" applyFill="1" applyBorder="1" applyAlignment="1" applyProtection="1">
      <alignment horizontal="center" vertical="center" wrapText="1"/>
    </xf>
    <xf numFmtId="43" fontId="7" fillId="7" borderId="11" xfId="1" applyFont="1" applyFill="1" applyBorder="1" applyAlignment="1">
      <alignment horizontal="center" vertical="center" wrapText="1" readingOrder="1"/>
    </xf>
    <xf numFmtId="43" fontId="7" fillId="7" borderId="8" xfId="1" applyFont="1" applyFill="1" applyBorder="1" applyAlignment="1">
      <alignment horizontal="center" vertical="center" wrapText="1" readingOrder="1"/>
    </xf>
    <xf numFmtId="3" fontId="16" fillId="8" borderId="8" xfId="0" applyNumberFormat="1" applyFont="1" applyFill="1" applyBorder="1" applyAlignment="1" applyProtection="1">
      <alignment horizontal="center" vertical="center" wrapText="1"/>
    </xf>
    <xf numFmtId="3" fontId="16" fillId="8" borderId="9" xfId="0" applyNumberFormat="1" applyFont="1" applyFill="1" applyBorder="1" applyAlignment="1" applyProtection="1">
      <alignment horizontal="center" vertical="center" wrapText="1"/>
    </xf>
    <xf numFmtId="43" fontId="10" fillId="7" borderId="11" xfId="1" applyFont="1" applyFill="1" applyBorder="1" applyAlignment="1">
      <alignment horizontal="center" vertical="center" wrapText="1"/>
    </xf>
    <xf numFmtId="43" fontId="10" fillId="7" borderId="8" xfId="1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 readingOrder="1"/>
    </xf>
    <xf numFmtId="43" fontId="17" fillId="0" borderId="1" xfId="1" applyFont="1" applyBorder="1" applyAlignment="1">
      <alignment horizontal="center" vertical="center"/>
    </xf>
    <xf numFmtId="43" fontId="17" fillId="0" borderId="4" xfId="1" applyFont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 wrapText="1" readingOrder="1"/>
    </xf>
    <xf numFmtId="0" fontId="26" fillId="0" borderId="0" xfId="0" applyFont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 wrapText="1" readingOrder="1"/>
    </xf>
    <xf numFmtId="3" fontId="14" fillId="11" borderId="14" xfId="0" applyNumberFormat="1" applyFont="1" applyFill="1" applyBorder="1" applyAlignment="1" applyProtection="1">
      <alignment horizontal="center" vertical="center" wrapText="1"/>
    </xf>
    <xf numFmtId="3" fontId="14" fillId="10" borderId="14" xfId="0" applyNumberFormat="1" applyFont="1" applyFill="1" applyBorder="1" applyAlignment="1" applyProtection="1">
      <alignment horizontal="center" vertical="center" wrapText="1"/>
    </xf>
    <xf numFmtId="3" fontId="14" fillId="6" borderId="14" xfId="0" applyNumberFormat="1" applyFont="1" applyFill="1" applyBorder="1" applyAlignment="1" applyProtection="1">
      <alignment horizontal="center" vertical="center" wrapText="1"/>
    </xf>
    <xf numFmtId="3" fontId="14" fillId="3" borderId="14" xfId="0" applyNumberFormat="1" applyFont="1" applyFill="1" applyBorder="1" applyAlignment="1" applyProtection="1">
      <alignment horizontal="center" vertical="center" wrapText="1"/>
    </xf>
    <xf numFmtId="166" fontId="16" fillId="6" borderId="14" xfId="0" applyNumberFormat="1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 readingOrder="1"/>
    </xf>
    <xf numFmtId="3" fontId="16" fillId="9" borderId="14" xfId="0" applyNumberFormat="1" applyFont="1" applyFill="1" applyBorder="1" applyAlignment="1" applyProtection="1">
      <alignment horizontal="center" vertical="center" wrapText="1"/>
    </xf>
    <xf numFmtId="43" fontId="7" fillId="7" borderId="14" xfId="1" applyFont="1" applyFill="1" applyBorder="1" applyAlignment="1">
      <alignment horizontal="center" vertical="center" wrapText="1" readingOrder="1"/>
    </xf>
    <xf numFmtId="3" fontId="16" fillId="8" borderId="14" xfId="0" applyNumberFormat="1" applyFont="1" applyFill="1" applyBorder="1" applyAlignment="1" applyProtection="1">
      <alignment horizontal="center" vertical="center" wrapText="1"/>
    </xf>
    <xf numFmtId="43" fontId="10" fillId="7" borderId="14" xfId="1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 readingOrder="1"/>
    </xf>
    <xf numFmtId="0" fontId="7" fillId="4" borderId="24" xfId="0" applyFont="1" applyFill="1" applyBorder="1" applyAlignment="1">
      <alignment horizontal="center" vertical="center" wrapText="1" readingOrder="1"/>
    </xf>
    <xf numFmtId="0" fontId="7" fillId="4" borderId="18" xfId="0" applyFont="1" applyFill="1" applyBorder="1" applyAlignment="1">
      <alignment horizontal="center" vertical="center" wrapText="1" readingOrder="1"/>
    </xf>
    <xf numFmtId="0" fontId="7" fillId="4" borderId="14" xfId="0" applyFont="1" applyFill="1" applyBorder="1" applyAlignment="1">
      <alignment horizontal="center" vertical="center" wrapText="1" readingOrder="1"/>
    </xf>
    <xf numFmtId="4" fontId="27" fillId="0" borderId="14" xfId="0" applyNumberFormat="1" applyFont="1" applyBorder="1" applyAlignment="1">
      <alignment vertical="center"/>
    </xf>
    <xf numFmtId="4" fontId="12" fillId="0" borderId="14" xfId="0" applyNumberFormat="1" applyFont="1" applyBorder="1" applyAlignment="1">
      <alignment vertical="center"/>
    </xf>
    <xf numFmtId="4" fontId="11" fillId="0" borderId="14" xfId="0" applyNumberFormat="1" applyFont="1" applyBorder="1" applyAlignment="1">
      <alignment vertical="center"/>
    </xf>
  </cellXfs>
  <cellStyles count="5">
    <cellStyle name="Comma" xfId="1" builtinId="3"/>
    <cellStyle name="Normal" xfId="0" builtinId="0"/>
    <cellStyle name="Normal 2" xfId="2"/>
    <cellStyle name="Normal_Sheet1" xfId="4"/>
    <cellStyle name="ปกติ_Sheet1" xfId="3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5273B"/>
      <color rgb="FFFCC8CC"/>
      <color rgb="FFF6ACB1"/>
      <color rgb="FFF2828A"/>
      <color rgb="FFF7536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C11" sqref="C11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06" t="s">
        <v>56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63" t="s">
        <v>53</v>
      </c>
      <c r="P1" s="41">
        <v>43789</v>
      </c>
    </row>
    <row r="2" spans="1:25" ht="54.75" customHeight="1" thickBot="1">
      <c r="C2" s="107" t="s">
        <v>41</v>
      </c>
      <c r="D2" s="109" t="s">
        <v>40</v>
      </c>
      <c r="E2" s="109"/>
      <c r="F2" s="109"/>
      <c r="G2" s="109"/>
      <c r="H2" s="110" t="s">
        <v>39</v>
      </c>
      <c r="I2" s="110"/>
      <c r="J2" s="110"/>
      <c r="K2" s="111" t="s">
        <v>38</v>
      </c>
      <c r="L2" s="111"/>
      <c r="M2" s="111"/>
      <c r="N2" s="112" t="s">
        <v>57</v>
      </c>
      <c r="O2" s="130" t="s">
        <v>58</v>
      </c>
      <c r="P2" s="127" t="s">
        <v>92</v>
      </c>
      <c r="Q2" s="116" t="s">
        <v>37</v>
      </c>
    </row>
    <row r="3" spans="1:25" ht="38.25" customHeight="1" thickBot="1">
      <c r="C3" s="107"/>
      <c r="D3" s="117" t="s">
        <v>36</v>
      </c>
      <c r="E3" s="117" t="s">
        <v>35</v>
      </c>
      <c r="F3" s="117" t="s">
        <v>34</v>
      </c>
      <c r="G3" s="119" t="s">
        <v>29</v>
      </c>
      <c r="H3" s="121" t="s">
        <v>33</v>
      </c>
      <c r="I3" s="107" t="s">
        <v>32</v>
      </c>
      <c r="J3" s="123" t="s">
        <v>29</v>
      </c>
      <c r="K3" s="125" t="s">
        <v>31</v>
      </c>
      <c r="L3" s="107" t="s">
        <v>30</v>
      </c>
      <c r="M3" s="114" t="s">
        <v>29</v>
      </c>
      <c r="N3" s="112"/>
      <c r="O3" s="130"/>
      <c r="P3" s="127"/>
      <c r="Q3" s="116"/>
    </row>
    <row r="4" spans="1:25" ht="36.75" customHeight="1" thickBot="1">
      <c r="C4" s="108"/>
      <c r="D4" s="118"/>
      <c r="E4" s="118"/>
      <c r="F4" s="118"/>
      <c r="G4" s="120"/>
      <c r="H4" s="122"/>
      <c r="I4" s="108"/>
      <c r="J4" s="124"/>
      <c r="K4" s="126"/>
      <c r="L4" s="108"/>
      <c r="M4" s="115"/>
      <c r="N4" s="113"/>
      <c r="O4" s="130"/>
      <c r="P4" s="127"/>
      <c r="Q4" s="116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48" t="s">
        <v>28</v>
      </c>
      <c r="D5" s="47">
        <v>3.16</v>
      </c>
      <c r="E5" s="47">
        <v>2.98</v>
      </c>
      <c r="F5" s="47">
        <v>1.59</v>
      </c>
      <c r="G5" s="47">
        <f t="shared" ref="G5:G20" si="0">(IF(D5&lt;1.5,1,0))+(IF(E5&lt;1,1,0))+(IF(F5&lt;0.8,1,0))</f>
        <v>0</v>
      </c>
      <c r="H5" s="53">
        <v>515037587.60000002</v>
      </c>
      <c r="I5" s="53">
        <v>47281502.159999996</v>
      </c>
      <c r="J5" s="47">
        <f t="shared" ref="J5:J20" si="1">IF(I5&lt;0,1,0)+IF(H5&lt;0,1,0)</f>
        <v>0</v>
      </c>
      <c r="K5" s="51">
        <f t="shared" ref="K5:K20" si="2">SUM(I5/1)</f>
        <v>47281502.159999996</v>
      </c>
      <c r="L5" s="45">
        <f>+H5/K5</f>
        <v>10.89300390366447</v>
      </c>
      <c r="M5" s="43">
        <f>IF(AND(I5&lt;0,H5&lt;0),2,IF(AND(I5&gt;0,H5&gt;0),0,IF(AND(H5&lt;0,I5&gt;0),IF(ABS((H5/(I5/1)))&lt;3,0,IF(ABS((H5/(I5/1)))&gt;6,2,1)),IF(AND(H5&gt;0,I5&lt;0),IF(ABS((H5/(I5/1)))&lt;3,2,IF(ABS((H5/(I5/1)))&gt;6,0,1))))))</f>
        <v>0</v>
      </c>
      <c r="N5" s="46">
        <f t="shared" ref="N5:N20" si="3">SUM(G5+J5+M5)</f>
        <v>0</v>
      </c>
      <c r="O5" s="87">
        <v>1</v>
      </c>
      <c r="P5" s="88">
        <v>55876396.210000001</v>
      </c>
      <c r="Q5" s="84">
        <v>143339233.03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48" t="s">
        <v>27</v>
      </c>
      <c r="D6" s="55">
        <v>0.87</v>
      </c>
      <c r="E6" s="55">
        <v>0.82</v>
      </c>
      <c r="F6" s="56">
        <v>0.5</v>
      </c>
      <c r="G6" s="55">
        <f t="shared" si="0"/>
        <v>3</v>
      </c>
      <c r="H6" s="58">
        <v>-25384123.170000002</v>
      </c>
      <c r="I6" s="54">
        <v>26494978.039999999</v>
      </c>
      <c r="J6" s="55">
        <f>IF(I6&lt;0,1,0)+IF(H6&lt;0,1,0)</f>
        <v>1</v>
      </c>
      <c r="K6" s="51">
        <f>SUM(I6/1)</f>
        <v>26494978.039999999</v>
      </c>
      <c r="L6" s="45">
        <f>+H6/K6</f>
        <v>-0.95807300280366647</v>
      </c>
      <c r="M6" s="43">
        <f t="shared" ref="M6:M20" si="4">IF(AND(I6&lt;0,H6&lt;0),2,IF(AND(I6&gt;0,H6&gt;0),0,IF(AND(H6&lt;0,I6&gt;0),IF(ABS((H6/(I6/1)))&lt;3,0,IF(ABS((H6/(I6/1)))&gt;6,2,1)),IF(AND(H6&gt;0,I6&lt;0),IF(ABS((H6/(I6/1)))&lt;3,2,IF(ABS((H6/(I6/1)))&gt;6,0,1))))))</f>
        <v>0</v>
      </c>
      <c r="N6" s="46">
        <f>SUM(G6+J6+M6)</f>
        <v>4</v>
      </c>
      <c r="O6" s="83">
        <v>7</v>
      </c>
      <c r="P6" s="88">
        <v>30282164.27</v>
      </c>
      <c r="Q6" s="85">
        <v>-94593991.379999995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48" t="s">
        <v>26</v>
      </c>
      <c r="D7" s="47">
        <v>1.52</v>
      </c>
      <c r="E7" s="47">
        <v>1.41</v>
      </c>
      <c r="F7" s="47">
        <v>1.05</v>
      </c>
      <c r="G7" s="47">
        <f t="shared" si="0"/>
        <v>0</v>
      </c>
      <c r="H7" s="53">
        <v>14266817.98</v>
      </c>
      <c r="I7" s="53">
        <v>11078667.17</v>
      </c>
      <c r="J7" s="47">
        <f t="shared" si="1"/>
        <v>0</v>
      </c>
      <c r="K7" s="51">
        <f t="shared" si="2"/>
        <v>11078667.17</v>
      </c>
      <c r="L7" s="45">
        <f t="shared" ref="L7:L20" si="5">+H7/K7</f>
        <v>1.2877738595336825</v>
      </c>
      <c r="M7" s="43">
        <f t="shared" si="4"/>
        <v>0</v>
      </c>
      <c r="N7" s="46">
        <f t="shared" si="3"/>
        <v>0</v>
      </c>
      <c r="O7" s="83">
        <v>2</v>
      </c>
      <c r="P7" s="88">
        <v>11355709.859999999</v>
      </c>
      <c r="Q7" s="86">
        <v>1458646.05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48" t="s">
        <v>25</v>
      </c>
      <c r="D8" s="55">
        <v>1.1499999999999999</v>
      </c>
      <c r="E8" s="55">
        <v>0.94</v>
      </c>
      <c r="F8" s="56">
        <v>0.5</v>
      </c>
      <c r="G8" s="55">
        <f t="shared" si="0"/>
        <v>3</v>
      </c>
      <c r="H8" s="54">
        <v>2005726.71</v>
      </c>
      <c r="I8" s="58">
        <v>-2368133.33</v>
      </c>
      <c r="J8" s="55">
        <f t="shared" si="1"/>
        <v>1</v>
      </c>
      <c r="K8" s="59">
        <f t="shared" si="2"/>
        <v>-2368133.33</v>
      </c>
      <c r="L8" s="45">
        <f t="shared" si="5"/>
        <v>-0.84696528045572494</v>
      </c>
      <c r="M8" s="42">
        <f t="shared" si="4"/>
        <v>2</v>
      </c>
      <c r="N8" s="46">
        <f t="shared" si="3"/>
        <v>6</v>
      </c>
      <c r="O8" s="83">
        <v>2</v>
      </c>
      <c r="P8" s="89">
        <v>-1319600.6299999999</v>
      </c>
      <c r="Q8" s="85">
        <v>-6892487.4000000004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48" t="s">
        <v>24</v>
      </c>
      <c r="D9" s="47">
        <v>2.35</v>
      </c>
      <c r="E9" s="47">
        <v>2.13</v>
      </c>
      <c r="F9" s="47">
        <v>1.88</v>
      </c>
      <c r="G9" s="47">
        <f t="shared" si="0"/>
        <v>0</v>
      </c>
      <c r="H9" s="53">
        <v>24133027.199999999</v>
      </c>
      <c r="I9" s="53">
        <v>10546847.539999999</v>
      </c>
      <c r="J9" s="47">
        <f t="shared" si="1"/>
        <v>0</v>
      </c>
      <c r="K9" s="51">
        <f t="shared" si="2"/>
        <v>10546847.539999999</v>
      </c>
      <c r="L9" s="45">
        <f t="shared" si="5"/>
        <v>2.2881744624138181</v>
      </c>
      <c r="M9" s="43">
        <f t="shared" si="4"/>
        <v>0</v>
      </c>
      <c r="N9" s="46">
        <f t="shared" si="3"/>
        <v>0</v>
      </c>
      <c r="O9" s="83">
        <v>1</v>
      </c>
      <c r="P9" s="88">
        <v>10977991.85</v>
      </c>
      <c r="Q9" s="86">
        <v>15753457.52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49" t="s">
        <v>23</v>
      </c>
      <c r="D10" s="47">
        <v>1.51</v>
      </c>
      <c r="E10" s="47">
        <v>1.43</v>
      </c>
      <c r="F10" s="47">
        <v>1.18</v>
      </c>
      <c r="G10" s="47">
        <f t="shared" si="0"/>
        <v>0</v>
      </c>
      <c r="H10" s="53">
        <v>9807924.2300000004</v>
      </c>
      <c r="I10" s="53">
        <v>8201564.9800000004</v>
      </c>
      <c r="J10" s="47">
        <f t="shared" si="1"/>
        <v>0</v>
      </c>
      <c r="K10" s="51">
        <f t="shared" si="2"/>
        <v>8201564.9800000004</v>
      </c>
      <c r="L10" s="45">
        <f t="shared" si="5"/>
        <v>1.195860089375284</v>
      </c>
      <c r="M10" s="43">
        <f t="shared" si="4"/>
        <v>0</v>
      </c>
      <c r="N10" s="46">
        <f t="shared" si="3"/>
        <v>0</v>
      </c>
      <c r="O10" s="83">
        <v>3</v>
      </c>
      <c r="P10" s="88">
        <v>8488284.9600000009</v>
      </c>
      <c r="Q10" s="86">
        <v>3436564.74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49" t="s">
        <v>22</v>
      </c>
      <c r="D11" s="47">
        <v>1.77</v>
      </c>
      <c r="E11" s="47">
        <v>1.57</v>
      </c>
      <c r="F11" s="47">
        <v>1.08</v>
      </c>
      <c r="G11" s="47">
        <f t="shared" si="0"/>
        <v>0</v>
      </c>
      <c r="H11" s="53">
        <v>34262592.689999998</v>
      </c>
      <c r="I11" s="53">
        <v>20946071.969999999</v>
      </c>
      <c r="J11" s="47">
        <f t="shared" si="1"/>
        <v>0</v>
      </c>
      <c r="K11" s="51">
        <f t="shared" si="2"/>
        <v>20946071.969999999</v>
      </c>
      <c r="L11" s="45">
        <f t="shared" si="5"/>
        <v>1.6357526479939808</v>
      </c>
      <c r="M11" s="43">
        <f t="shared" si="4"/>
        <v>0</v>
      </c>
      <c r="N11" s="46">
        <f t="shared" si="3"/>
        <v>0</v>
      </c>
      <c r="O11" s="83">
        <v>2</v>
      </c>
      <c r="P11" s="88">
        <v>22229518.25</v>
      </c>
      <c r="Q11" s="86">
        <v>3077563.81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49" t="s">
        <v>21</v>
      </c>
      <c r="D12" s="47">
        <v>1.54</v>
      </c>
      <c r="E12" s="47">
        <v>1.39</v>
      </c>
      <c r="F12" s="47">
        <v>1.1399999999999999</v>
      </c>
      <c r="G12" s="47">
        <f t="shared" si="0"/>
        <v>0</v>
      </c>
      <c r="H12" s="53">
        <v>15624096.18</v>
      </c>
      <c r="I12" s="53">
        <v>10821807.720000001</v>
      </c>
      <c r="J12" s="47">
        <f t="shared" si="1"/>
        <v>0</v>
      </c>
      <c r="K12" s="51">
        <f t="shared" si="2"/>
        <v>10821807.720000001</v>
      </c>
      <c r="L12" s="45">
        <f t="shared" si="5"/>
        <v>1.4437602833327738</v>
      </c>
      <c r="M12" s="43">
        <f t="shared" si="4"/>
        <v>0</v>
      </c>
      <c r="N12" s="46">
        <f t="shared" si="3"/>
        <v>0</v>
      </c>
      <c r="O12" s="83">
        <v>2</v>
      </c>
      <c r="P12" s="88">
        <v>11007164.300000001</v>
      </c>
      <c r="Q12" s="86">
        <v>3948187.66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49" t="s">
        <v>20</v>
      </c>
      <c r="D13" s="47">
        <v>1.52</v>
      </c>
      <c r="E13" s="47">
        <v>1.45</v>
      </c>
      <c r="F13" s="47">
        <v>1.24</v>
      </c>
      <c r="G13" s="47">
        <f t="shared" si="0"/>
        <v>0</v>
      </c>
      <c r="H13" s="53">
        <v>15502850.289999999</v>
      </c>
      <c r="I13" s="53">
        <v>13199420.119999999</v>
      </c>
      <c r="J13" s="47">
        <f t="shared" si="1"/>
        <v>0</v>
      </c>
      <c r="K13" s="51">
        <f t="shared" si="2"/>
        <v>13199420.119999999</v>
      </c>
      <c r="L13" s="45">
        <f t="shared" si="5"/>
        <v>1.1745099518811286</v>
      </c>
      <c r="M13" s="43">
        <f t="shared" si="4"/>
        <v>0</v>
      </c>
      <c r="N13" s="46">
        <f t="shared" si="3"/>
        <v>0</v>
      </c>
      <c r="O13" s="83">
        <v>1</v>
      </c>
      <c r="P13" s="88">
        <v>13704532.859999999</v>
      </c>
      <c r="Q13" s="86">
        <v>7149798.8499999996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49" t="s">
        <v>19</v>
      </c>
      <c r="D14" s="57">
        <v>2.2999999999999998</v>
      </c>
      <c r="E14" s="47">
        <v>2.21</v>
      </c>
      <c r="F14" s="47">
        <v>1.75</v>
      </c>
      <c r="G14" s="47">
        <f t="shared" si="0"/>
        <v>0</v>
      </c>
      <c r="H14" s="53">
        <v>25280373.620000001</v>
      </c>
      <c r="I14" s="53">
        <v>15760974.279999999</v>
      </c>
      <c r="J14" s="47">
        <f t="shared" si="1"/>
        <v>0</v>
      </c>
      <c r="K14" s="51">
        <f t="shared" si="2"/>
        <v>15760974.279999999</v>
      </c>
      <c r="L14" s="45">
        <f t="shared" si="5"/>
        <v>1.6039854625027661</v>
      </c>
      <c r="M14" s="43">
        <f t="shared" si="4"/>
        <v>0</v>
      </c>
      <c r="N14" s="46">
        <f t="shared" si="3"/>
        <v>0</v>
      </c>
      <c r="O14" s="83">
        <v>0</v>
      </c>
      <c r="P14" s="88">
        <v>15980959.6</v>
      </c>
      <c r="Q14" s="86">
        <v>14617536.060000001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49" t="s">
        <v>18</v>
      </c>
      <c r="D15" s="47">
        <v>2.19</v>
      </c>
      <c r="E15" s="47">
        <v>2.02</v>
      </c>
      <c r="F15" s="57">
        <v>1.7</v>
      </c>
      <c r="G15" s="47">
        <f t="shared" si="0"/>
        <v>0</v>
      </c>
      <c r="H15" s="53">
        <v>21288642.329999998</v>
      </c>
      <c r="I15" s="53">
        <v>13175830.779999999</v>
      </c>
      <c r="J15" s="47">
        <f t="shared" si="1"/>
        <v>0</v>
      </c>
      <c r="K15" s="51">
        <f t="shared" si="2"/>
        <v>13175830.779999999</v>
      </c>
      <c r="L15" s="45">
        <f t="shared" si="5"/>
        <v>1.6157343461267495</v>
      </c>
      <c r="M15" s="43">
        <f t="shared" si="4"/>
        <v>0</v>
      </c>
      <c r="N15" s="46">
        <f t="shared" si="3"/>
        <v>0</v>
      </c>
      <c r="O15" s="83">
        <v>0</v>
      </c>
      <c r="P15" s="88">
        <v>13592405.689999999</v>
      </c>
      <c r="Q15" s="86">
        <v>12502880.140000001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49" t="s">
        <v>17</v>
      </c>
      <c r="D16" s="47">
        <v>3.67</v>
      </c>
      <c r="E16" s="47">
        <v>2.95</v>
      </c>
      <c r="F16" s="47">
        <v>2.67</v>
      </c>
      <c r="G16" s="47">
        <f t="shared" si="0"/>
        <v>0</v>
      </c>
      <c r="H16" s="53">
        <v>75842247.980000004</v>
      </c>
      <c r="I16" s="53">
        <v>38850985.840000004</v>
      </c>
      <c r="J16" s="47">
        <f t="shared" si="1"/>
        <v>0</v>
      </c>
      <c r="K16" s="51">
        <f t="shared" si="2"/>
        <v>38850985.840000004</v>
      </c>
      <c r="L16" s="45">
        <f t="shared" si="5"/>
        <v>1.9521318787724229</v>
      </c>
      <c r="M16" s="43">
        <f t="shared" si="4"/>
        <v>0</v>
      </c>
      <c r="N16" s="46">
        <f t="shared" si="3"/>
        <v>0</v>
      </c>
      <c r="O16" s="83">
        <v>1</v>
      </c>
      <c r="P16" s="88">
        <v>27072297.559999999</v>
      </c>
      <c r="Q16" s="86">
        <v>47439461.210000001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49" t="s">
        <v>16</v>
      </c>
      <c r="D17" s="47">
        <v>2.36</v>
      </c>
      <c r="E17" s="47">
        <v>2.11</v>
      </c>
      <c r="F17" s="47">
        <v>1.86</v>
      </c>
      <c r="G17" s="47">
        <f t="shared" si="0"/>
        <v>0</v>
      </c>
      <c r="H17" s="53">
        <v>8580347.1400000006</v>
      </c>
      <c r="I17" s="53">
        <v>6063699.75</v>
      </c>
      <c r="J17" s="47">
        <f t="shared" si="1"/>
        <v>0</v>
      </c>
      <c r="K17" s="51">
        <f t="shared" si="2"/>
        <v>6063699.75</v>
      </c>
      <c r="L17" s="45">
        <f t="shared" si="5"/>
        <v>1.4150349611225392</v>
      </c>
      <c r="M17" s="43">
        <f t="shared" si="4"/>
        <v>0</v>
      </c>
      <c r="N17" s="46">
        <f t="shared" si="3"/>
        <v>0</v>
      </c>
      <c r="O17" s="83">
        <v>1</v>
      </c>
      <c r="P17" s="88">
        <v>6290520.7400000002</v>
      </c>
      <c r="Q17" s="86">
        <v>5400585.7599999998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49" t="s">
        <v>15</v>
      </c>
      <c r="D18" s="47">
        <v>1.77</v>
      </c>
      <c r="E18" s="47">
        <v>1.65</v>
      </c>
      <c r="F18" s="47">
        <v>1.18</v>
      </c>
      <c r="G18" s="47">
        <f t="shared" si="0"/>
        <v>0</v>
      </c>
      <c r="H18" s="53">
        <v>16826359.460000001</v>
      </c>
      <c r="I18" s="53">
        <v>13379349.02</v>
      </c>
      <c r="J18" s="47">
        <f t="shared" si="1"/>
        <v>0</v>
      </c>
      <c r="K18" s="51">
        <f t="shared" si="2"/>
        <v>13379349.02</v>
      </c>
      <c r="L18" s="45">
        <f t="shared" si="5"/>
        <v>1.257636633504909</v>
      </c>
      <c r="M18" s="43">
        <f t="shared" si="4"/>
        <v>0</v>
      </c>
      <c r="N18" s="46">
        <f t="shared" si="3"/>
        <v>0</v>
      </c>
      <c r="O18" s="83">
        <v>3</v>
      </c>
      <c r="P18" s="88">
        <v>13985195.25</v>
      </c>
      <c r="Q18" s="86">
        <v>3916850.28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49" t="s">
        <v>14</v>
      </c>
      <c r="D19" s="42">
        <v>1.39</v>
      </c>
      <c r="E19" s="47">
        <v>1.27</v>
      </c>
      <c r="F19" s="47">
        <v>0.93</v>
      </c>
      <c r="G19" s="42">
        <f t="shared" si="0"/>
        <v>1</v>
      </c>
      <c r="H19" s="53">
        <v>5220501.92</v>
      </c>
      <c r="I19" s="53">
        <v>9594859.0600000005</v>
      </c>
      <c r="J19" s="47">
        <f t="shared" si="1"/>
        <v>0</v>
      </c>
      <c r="K19" s="51">
        <f t="shared" si="2"/>
        <v>9594859.0600000005</v>
      </c>
      <c r="L19" s="45">
        <f t="shared" si="5"/>
        <v>0.54409365341943849</v>
      </c>
      <c r="M19" s="43">
        <f t="shared" si="4"/>
        <v>0</v>
      </c>
      <c r="N19" s="46">
        <f t="shared" si="3"/>
        <v>1</v>
      </c>
      <c r="O19" s="83">
        <v>6</v>
      </c>
      <c r="P19" s="88">
        <v>9973269.3499999996</v>
      </c>
      <c r="Q19" s="85">
        <v>-998866.95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48" t="s">
        <v>13</v>
      </c>
      <c r="D20" s="47">
        <v>2.0699999999999998</v>
      </c>
      <c r="E20" s="47">
        <v>1.95</v>
      </c>
      <c r="F20" s="47">
        <v>1.49</v>
      </c>
      <c r="G20" s="47">
        <f t="shared" si="0"/>
        <v>0</v>
      </c>
      <c r="H20" s="53">
        <v>8924510.2599999998</v>
      </c>
      <c r="I20" s="53">
        <v>3954083.69</v>
      </c>
      <c r="J20" s="47">
        <f t="shared" si="1"/>
        <v>0</v>
      </c>
      <c r="K20" s="44">
        <f t="shared" si="2"/>
        <v>3954083.69</v>
      </c>
      <c r="L20" s="45">
        <f t="shared" si="5"/>
        <v>2.2570362591389661</v>
      </c>
      <c r="M20" s="43">
        <f t="shared" si="4"/>
        <v>0</v>
      </c>
      <c r="N20" s="46">
        <f t="shared" si="3"/>
        <v>0</v>
      </c>
      <c r="O20" s="83">
        <v>0</v>
      </c>
      <c r="P20" s="88">
        <v>4287641.6900000004</v>
      </c>
      <c r="Q20" s="86">
        <v>4105083.56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8" t="s">
        <v>5</v>
      </c>
      <c r="M23" s="128"/>
      <c r="N23" s="128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8"/>
      <c r="M24" s="128"/>
      <c r="N24" s="128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8" t="s">
        <v>5</v>
      </c>
      <c r="M25" s="128"/>
      <c r="N25" s="128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8"/>
      <c r="M26" s="128"/>
      <c r="N26" s="128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9" t="s">
        <v>5</v>
      </c>
      <c r="L27" s="129"/>
      <c r="M27" s="38"/>
      <c r="N27" s="38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8" t="s">
        <v>5</v>
      </c>
      <c r="M30" s="128"/>
      <c r="N30" s="128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8"/>
      <c r="M31" s="128"/>
      <c r="N31" s="128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K5" sqref="K5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131" t="s">
        <v>83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63" t="s">
        <v>53</v>
      </c>
      <c r="P1" s="41"/>
    </row>
    <row r="2" spans="1:24" ht="54.75" customHeight="1" thickBot="1">
      <c r="C2" s="132" t="s">
        <v>41</v>
      </c>
      <c r="D2" s="133" t="s">
        <v>40</v>
      </c>
      <c r="E2" s="133"/>
      <c r="F2" s="133"/>
      <c r="G2" s="133"/>
      <c r="H2" s="134" t="s">
        <v>39</v>
      </c>
      <c r="I2" s="134"/>
      <c r="J2" s="134"/>
      <c r="K2" s="135" t="s">
        <v>38</v>
      </c>
      <c r="L2" s="135"/>
      <c r="M2" s="135"/>
      <c r="N2" s="136" t="s">
        <v>84</v>
      </c>
      <c r="O2" s="147" t="s">
        <v>85</v>
      </c>
      <c r="P2" s="138" t="s">
        <v>37</v>
      </c>
    </row>
    <row r="3" spans="1:24" ht="38.25" customHeight="1" thickBot="1">
      <c r="C3" s="132"/>
      <c r="D3" s="139" t="s">
        <v>36</v>
      </c>
      <c r="E3" s="139" t="s">
        <v>35</v>
      </c>
      <c r="F3" s="139" t="s">
        <v>34</v>
      </c>
      <c r="G3" s="140" t="s">
        <v>29</v>
      </c>
      <c r="H3" s="141" t="s">
        <v>33</v>
      </c>
      <c r="I3" s="132" t="s">
        <v>32</v>
      </c>
      <c r="J3" s="142" t="s">
        <v>29</v>
      </c>
      <c r="K3" s="143" t="s">
        <v>31</v>
      </c>
      <c r="L3" s="132" t="s">
        <v>30</v>
      </c>
      <c r="M3" s="137" t="s">
        <v>29</v>
      </c>
      <c r="N3" s="136"/>
      <c r="O3" s="147"/>
      <c r="P3" s="138"/>
    </row>
    <row r="4" spans="1:24" ht="36.75" customHeight="1" thickBot="1">
      <c r="C4" s="132"/>
      <c r="D4" s="139"/>
      <c r="E4" s="139"/>
      <c r="F4" s="139"/>
      <c r="G4" s="140"/>
      <c r="H4" s="141"/>
      <c r="I4" s="132"/>
      <c r="J4" s="142"/>
      <c r="K4" s="143"/>
      <c r="L4" s="132"/>
      <c r="M4" s="137"/>
      <c r="N4" s="136"/>
      <c r="O4" s="147"/>
      <c r="P4" s="138"/>
      <c r="V4" s="1" t="s">
        <v>42</v>
      </c>
      <c r="W4" s="1" t="s">
        <v>43</v>
      </c>
      <c r="X4" s="1" t="s">
        <v>44</v>
      </c>
    </row>
    <row r="5" spans="1:24" s="8" customFormat="1" ht="35.1" customHeight="1" thickBot="1">
      <c r="A5" s="8">
        <v>13</v>
      </c>
      <c r="B5" s="50">
        <v>1</v>
      </c>
      <c r="C5" s="64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>SUM(I5/10)</f>
        <v>0</v>
      </c>
      <c r="L5" s="45" t="e">
        <f>+H5/K5</f>
        <v>#DIV/0!</v>
      </c>
      <c r="M5" s="43" t="b">
        <f>IF(AND(I5&lt;0,H5&lt;0),2,IF(AND(I5&gt;0,H5&gt;0),0,IF(AND(H5&lt;0,I5&gt;0),IF(ABS((H5/(I5/10)))&lt;3,0,IF(ABS((H5/(I5/10)))&gt;6,2,1)),IF(AND(H5&gt;0,I5&lt;0),IF(ABS((H5/(I5/10)))&lt;3,2,IF(ABS((H5/(I5/10)))&gt;6,0,1))))))</f>
        <v>0</v>
      </c>
      <c r="N5" s="46">
        <f t="shared" ref="N5:N20" si="2">SUM(G5+J5+M5)</f>
        <v>3</v>
      </c>
      <c r="O5" s="46">
        <f>มิ.ย.63!N5</f>
        <v>0</v>
      </c>
      <c r="P5" s="53"/>
      <c r="R5" s="9"/>
      <c r="U5" s="10"/>
      <c r="V5" s="13"/>
      <c r="W5" s="13"/>
      <c r="X5" s="10"/>
    </row>
    <row r="6" spans="1:24" s="8" customFormat="1" ht="35.1" customHeight="1" thickBot="1">
      <c r="A6" s="8">
        <v>2</v>
      </c>
      <c r="B6" s="50">
        <v>2</v>
      </c>
      <c r="C6" s="64" t="s">
        <v>27</v>
      </c>
      <c r="D6" s="42"/>
      <c r="E6" s="42"/>
      <c r="F6" s="42"/>
      <c r="G6" s="55">
        <f t="shared" si="0"/>
        <v>3</v>
      </c>
      <c r="H6" s="68"/>
      <c r="I6" s="53"/>
      <c r="J6" s="55">
        <f>IF(I6&lt;0,1,0)+IF(H6&lt;0,1,0)</f>
        <v>0</v>
      </c>
      <c r="K6" s="51">
        <f t="shared" ref="K6:K20" si="3">SUM(I6/10)</f>
        <v>0</v>
      </c>
      <c r="L6" s="45" t="e">
        <f>+H6/K6</f>
        <v>#DIV/0!</v>
      </c>
      <c r="M6" s="43" t="b">
        <f t="shared" ref="M6:M20" si="4">IF(AND(I6&lt;0,H6&lt;0),2,IF(AND(I6&gt;0,H6&gt;0),0,IF(AND(H6&lt;0,I6&gt;0),IF(ABS((H6/(I6/10)))&lt;3,0,IF(ABS((H6/(I6/10)))&gt;6,2,1)),IF(AND(H6&gt;0,I6&lt;0),IF(ABS((H6/(I6/10)))&lt;3,2,IF(ABS((H6/(I6/10)))&gt;6,0,1))))))</f>
        <v>0</v>
      </c>
      <c r="N6" s="46">
        <f>SUM(G6+J6+M6)</f>
        <v>3</v>
      </c>
      <c r="O6" s="46">
        <f>มิ.ย.63!N6</f>
        <v>6</v>
      </c>
      <c r="P6" s="68"/>
      <c r="R6" s="9"/>
      <c r="U6" s="10"/>
      <c r="V6" s="13"/>
      <c r="W6" s="13"/>
      <c r="X6" s="10"/>
    </row>
    <row r="7" spans="1:24" s="8" customFormat="1" ht="35.1" customHeight="1" thickBot="1">
      <c r="A7" s="8">
        <v>8</v>
      </c>
      <c r="B7" s="50">
        <v>3</v>
      </c>
      <c r="C7" s="64" t="s">
        <v>26</v>
      </c>
      <c r="D7" s="42"/>
      <c r="E7" s="47"/>
      <c r="F7" s="47"/>
      <c r="G7" s="42">
        <f t="shared" si="0"/>
        <v>3</v>
      </c>
      <c r="H7" s="53"/>
      <c r="I7" s="53"/>
      <c r="J7" s="47">
        <f t="shared" si="1"/>
        <v>0</v>
      </c>
      <c r="K7" s="51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มิ.ย.63!N7</f>
        <v>3</v>
      </c>
      <c r="P7" s="68"/>
      <c r="R7" s="9"/>
      <c r="U7" s="10"/>
      <c r="V7" s="13"/>
      <c r="W7" s="13"/>
      <c r="X7" s="10"/>
    </row>
    <row r="8" spans="1:24" s="8" customFormat="1" ht="35.1" customHeight="1" thickBot="1">
      <c r="A8" s="8">
        <v>16</v>
      </c>
      <c r="B8" s="50">
        <v>4</v>
      </c>
      <c r="C8" s="64" t="s">
        <v>25</v>
      </c>
      <c r="D8" s="47"/>
      <c r="E8" s="47"/>
      <c r="F8" s="47"/>
      <c r="G8" s="66">
        <f t="shared" si="0"/>
        <v>3</v>
      </c>
      <c r="H8" s="53"/>
      <c r="I8" s="53"/>
      <c r="J8" s="66">
        <f t="shared" si="1"/>
        <v>0</v>
      </c>
      <c r="K8" s="51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มิ.ย.63!N8</f>
        <v>1</v>
      </c>
      <c r="P8" s="53"/>
      <c r="R8" s="9"/>
      <c r="U8" s="10"/>
      <c r="V8" s="13"/>
      <c r="W8" s="13"/>
      <c r="X8" s="10"/>
    </row>
    <row r="9" spans="1:24" s="8" customFormat="1" ht="35.1" customHeight="1" thickBot="1">
      <c r="A9" s="8">
        <v>14</v>
      </c>
      <c r="B9" s="50">
        <v>5</v>
      </c>
      <c r="C9" s="64" t="s">
        <v>24</v>
      </c>
      <c r="D9" s="47"/>
      <c r="E9" s="57"/>
      <c r="F9" s="47"/>
      <c r="G9" s="47">
        <f t="shared" si="0"/>
        <v>3</v>
      </c>
      <c r="H9" s="53"/>
      <c r="I9" s="53"/>
      <c r="J9" s="47">
        <f t="shared" si="1"/>
        <v>0</v>
      </c>
      <c r="K9" s="51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มิ.ย.63!N9</f>
        <v>0</v>
      </c>
      <c r="P9" s="53"/>
      <c r="R9" s="9"/>
      <c r="U9" s="10"/>
      <c r="V9" s="13"/>
      <c r="W9" s="13"/>
      <c r="X9" s="10"/>
    </row>
    <row r="10" spans="1:24" s="8" customFormat="1" ht="35.1" customHeight="1" thickBot="1">
      <c r="A10" s="8">
        <v>10</v>
      </c>
      <c r="B10" s="50">
        <v>6</v>
      </c>
      <c r="C10" s="65" t="s">
        <v>23</v>
      </c>
      <c r="D10" s="42"/>
      <c r="E10" s="47"/>
      <c r="F10" s="47"/>
      <c r="G10" s="42">
        <f t="shared" si="0"/>
        <v>3</v>
      </c>
      <c r="H10" s="53"/>
      <c r="I10" s="53"/>
      <c r="J10" s="47">
        <f t="shared" si="1"/>
        <v>0</v>
      </c>
      <c r="K10" s="51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มิ.ย.63!N10</f>
        <v>1</v>
      </c>
      <c r="P10" s="53"/>
      <c r="R10" s="9"/>
      <c r="U10" s="10"/>
      <c r="V10" s="13"/>
      <c r="W10" s="13"/>
      <c r="X10" s="10"/>
    </row>
    <row r="11" spans="1:24" s="8" customFormat="1" ht="35.1" customHeight="1" thickBot="1">
      <c r="A11" s="8">
        <v>11</v>
      </c>
      <c r="B11" s="50">
        <v>7</v>
      </c>
      <c r="C11" s="65" t="s">
        <v>22</v>
      </c>
      <c r="D11" s="47"/>
      <c r="E11" s="47"/>
      <c r="F11" s="47"/>
      <c r="G11" s="47">
        <f t="shared" si="0"/>
        <v>3</v>
      </c>
      <c r="H11" s="53"/>
      <c r="I11" s="53"/>
      <c r="J11" s="47">
        <f t="shared" si="1"/>
        <v>0</v>
      </c>
      <c r="K11" s="51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มิ.ย.63!N11</f>
        <v>2</v>
      </c>
      <c r="P11" s="68"/>
      <c r="R11" s="9"/>
      <c r="U11" s="10"/>
      <c r="V11" s="13"/>
      <c r="W11" s="13"/>
      <c r="X11" s="10"/>
    </row>
    <row r="12" spans="1:24" s="8" customFormat="1" ht="35.1" customHeight="1" thickBot="1">
      <c r="A12" s="8">
        <v>4</v>
      </c>
      <c r="B12" s="50">
        <v>8</v>
      </c>
      <c r="C12" s="65" t="s">
        <v>21</v>
      </c>
      <c r="D12" s="42"/>
      <c r="E12" s="47"/>
      <c r="F12" s="47"/>
      <c r="G12" s="42">
        <f t="shared" si="0"/>
        <v>3</v>
      </c>
      <c r="H12" s="53"/>
      <c r="I12" s="53"/>
      <c r="J12" s="47">
        <f t="shared" si="1"/>
        <v>0</v>
      </c>
      <c r="K12" s="51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มิ.ย.63!N12</f>
        <v>1</v>
      </c>
      <c r="P12" s="53"/>
      <c r="R12" s="9"/>
      <c r="U12" s="10"/>
      <c r="V12" s="13"/>
      <c r="W12" s="13"/>
      <c r="X12" s="10"/>
    </row>
    <row r="13" spans="1:24" s="8" customFormat="1" ht="35.1" customHeight="1" thickBot="1">
      <c r="A13" s="8">
        <v>5</v>
      </c>
      <c r="B13" s="50">
        <v>9</v>
      </c>
      <c r="C13" s="65" t="s">
        <v>20</v>
      </c>
      <c r="D13" s="47"/>
      <c r="E13" s="47"/>
      <c r="F13" s="47"/>
      <c r="G13" s="47">
        <f t="shared" si="0"/>
        <v>3</v>
      </c>
      <c r="H13" s="53"/>
      <c r="I13" s="53"/>
      <c r="J13" s="47">
        <f t="shared" si="1"/>
        <v>0</v>
      </c>
      <c r="K13" s="51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มิ.ย.63!N13</f>
        <v>1</v>
      </c>
      <c r="P13" s="53"/>
      <c r="R13" s="9"/>
      <c r="U13" s="10"/>
      <c r="V13" s="13"/>
      <c r="W13" s="13"/>
      <c r="X13" s="10"/>
    </row>
    <row r="14" spans="1:24" s="8" customFormat="1" ht="35.1" customHeight="1" thickBot="1">
      <c r="A14" s="8">
        <v>3</v>
      </c>
      <c r="B14" s="50">
        <v>10</v>
      </c>
      <c r="C14" s="65" t="s">
        <v>19</v>
      </c>
      <c r="D14" s="47"/>
      <c r="E14" s="47"/>
      <c r="F14" s="47"/>
      <c r="G14" s="47">
        <f t="shared" si="0"/>
        <v>3</v>
      </c>
      <c r="H14" s="53"/>
      <c r="I14" s="53"/>
      <c r="J14" s="47">
        <f t="shared" si="1"/>
        <v>0</v>
      </c>
      <c r="K14" s="51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มิ.ย.63!N14</f>
        <v>0</v>
      </c>
      <c r="P14" s="53"/>
      <c r="R14" s="9"/>
      <c r="U14" s="10"/>
      <c r="V14" s="13"/>
      <c r="W14" s="13"/>
      <c r="X14" s="10"/>
    </row>
    <row r="15" spans="1:24" s="8" customFormat="1" ht="35.1" customHeight="1" thickBot="1">
      <c r="A15" s="8">
        <v>9</v>
      </c>
      <c r="B15" s="50">
        <v>11</v>
      </c>
      <c r="C15" s="65" t="s">
        <v>18</v>
      </c>
      <c r="D15" s="47"/>
      <c r="E15" s="47"/>
      <c r="F15" s="47"/>
      <c r="G15" s="47">
        <f t="shared" si="0"/>
        <v>3</v>
      </c>
      <c r="H15" s="53"/>
      <c r="I15" s="53"/>
      <c r="J15" s="47">
        <f t="shared" si="1"/>
        <v>0</v>
      </c>
      <c r="K15" s="51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มิ.ย.63!N15</f>
        <v>0</v>
      </c>
      <c r="P15" s="53"/>
      <c r="R15" s="9"/>
      <c r="U15" s="10"/>
      <c r="V15" s="13"/>
      <c r="W15" s="13"/>
      <c r="X15" s="10"/>
    </row>
    <row r="16" spans="1:24" s="8" customFormat="1" ht="35.1" customHeight="1" thickBot="1">
      <c r="A16" s="8">
        <v>15</v>
      </c>
      <c r="B16" s="50">
        <v>12</v>
      </c>
      <c r="C16" s="65" t="s">
        <v>17</v>
      </c>
      <c r="D16" s="47"/>
      <c r="E16" s="47"/>
      <c r="F16" s="47"/>
      <c r="G16" s="47">
        <f t="shared" si="0"/>
        <v>3</v>
      </c>
      <c r="H16" s="53"/>
      <c r="I16" s="67"/>
      <c r="J16" s="47">
        <f t="shared" si="1"/>
        <v>0</v>
      </c>
      <c r="K16" s="51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มิ.ย.63!N16</f>
        <v>0</v>
      </c>
      <c r="P16" s="53"/>
      <c r="R16" s="9"/>
      <c r="U16" s="10"/>
      <c r="V16" s="13"/>
      <c r="W16" s="13"/>
      <c r="X16" s="10"/>
    </row>
    <row r="17" spans="1:24" s="8" customFormat="1" ht="35.1" customHeight="1" thickBot="1">
      <c r="A17" s="8">
        <v>6</v>
      </c>
      <c r="B17" s="50">
        <v>13</v>
      </c>
      <c r="C17" s="65" t="s">
        <v>16</v>
      </c>
      <c r="D17" s="47"/>
      <c r="E17" s="47"/>
      <c r="F17" s="47"/>
      <c r="G17" s="47">
        <f t="shared" si="0"/>
        <v>3</v>
      </c>
      <c r="H17" s="53"/>
      <c r="I17" s="53"/>
      <c r="J17" s="47">
        <f t="shared" si="1"/>
        <v>0</v>
      </c>
      <c r="K17" s="51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มิ.ย.63!N17</f>
        <v>0</v>
      </c>
      <c r="P17" s="53"/>
      <c r="R17" s="9"/>
      <c r="U17" s="10"/>
      <c r="V17" s="13"/>
      <c r="W17" s="13"/>
      <c r="X17" s="10"/>
    </row>
    <row r="18" spans="1:24" s="8" customFormat="1" ht="35.1" customHeight="1" thickBot="1">
      <c r="A18" s="8">
        <v>1</v>
      </c>
      <c r="B18" s="50">
        <v>14</v>
      </c>
      <c r="C18" s="65" t="s">
        <v>15</v>
      </c>
      <c r="D18" s="47"/>
      <c r="E18" s="47"/>
      <c r="F18" s="57"/>
      <c r="G18" s="47">
        <f t="shared" si="0"/>
        <v>3</v>
      </c>
      <c r="H18" s="53"/>
      <c r="I18" s="53"/>
      <c r="J18" s="47">
        <f t="shared" si="1"/>
        <v>0</v>
      </c>
      <c r="K18" s="51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มิ.ย.63!N18</f>
        <v>3</v>
      </c>
      <c r="P18" s="53"/>
      <c r="R18" s="9"/>
      <c r="U18" s="10"/>
      <c r="V18" s="13"/>
      <c r="W18" s="13"/>
      <c r="X18" s="10"/>
    </row>
    <row r="19" spans="1:24" s="8" customFormat="1" ht="35.1" customHeight="1" thickBot="1">
      <c r="A19" s="8">
        <v>7</v>
      </c>
      <c r="B19" s="50">
        <v>15</v>
      </c>
      <c r="C19" s="65" t="s">
        <v>14</v>
      </c>
      <c r="D19" s="42"/>
      <c r="E19" s="47"/>
      <c r="F19" s="47"/>
      <c r="G19" s="42">
        <f t="shared" si="0"/>
        <v>3</v>
      </c>
      <c r="H19" s="53"/>
      <c r="I19" s="53"/>
      <c r="J19" s="47">
        <f t="shared" si="1"/>
        <v>0</v>
      </c>
      <c r="K19" s="51">
        <f t="shared" si="3"/>
        <v>0</v>
      </c>
      <c r="L19" s="45" t="e">
        <f t="shared" si="5"/>
        <v>#DIV/0!</v>
      </c>
      <c r="M19" s="43" t="b">
        <f t="shared" si="4"/>
        <v>0</v>
      </c>
      <c r="N19" s="46">
        <f t="shared" si="2"/>
        <v>3</v>
      </c>
      <c r="O19" s="46">
        <f>มิ.ย.63!N19</f>
        <v>6</v>
      </c>
      <c r="P19" s="68"/>
      <c r="R19" s="9"/>
      <c r="U19" s="10"/>
      <c r="V19" s="13"/>
      <c r="W19" s="13"/>
      <c r="X19" s="10"/>
    </row>
    <row r="20" spans="1:24" s="8" customFormat="1" ht="35.1" customHeight="1" thickBot="1">
      <c r="A20" s="8">
        <v>12</v>
      </c>
      <c r="B20" s="50">
        <v>16</v>
      </c>
      <c r="C20" s="64" t="s">
        <v>13</v>
      </c>
      <c r="D20" s="47"/>
      <c r="E20" s="47"/>
      <c r="F20" s="47"/>
      <c r="G20" s="47">
        <f t="shared" si="0"/>
        <v>3</v>
      </c>
      <c r="H20" s="53"/>
      <c r="I20" s="53"/>
      <c r="J20" s="47">
        <f t="shared" si="1"/>
        <v>0</v>
      </c>
      <c r="K20" s="51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มิ.ย.63!N20</f>
        <v>2</v>
      </c>
      <c r="P20" s="53"/>
      <c r="R20" s="9"/>
      <c r="U20" s="10"/>
      <c r="V20" s="13"/>
      <c r="W20" s="13"/>
      <c r="X20" s="10"/>
    </row>
    <row r="21" spans="1:24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60"/>
      <c r="V21" s="12"/>
      <c r="W21" s="12"/>
      <c r="X21" s="11"/>
    </row>
    <row r="22" spans="1:24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</row>
    <row r="23" spans="1:24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8" t="s">
        <v>5</v>
      </c>
      <c r="M23" s="128"/>
      <c r="N23" s="128"/>
      <c r="O23" s="14"/>
    </row>
    <row r="24" spans="1:24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8"/>
      <c r="M24" s="128"/>
      <c r="N24" s="128"/>
      <c r="O24" s="14"/>
    </row>
    <row r="25" spans="1:24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8" t="s">
        <v>5</v>
      </c>
      <c r="M25" s="128"/>
      <c r="N25" s="128"/>
      <c r="O25" s="14"/>
    </row>
    <row r="26" spans="1:24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8"/>
      <c r="M26" s="128"/>
      <c r="N26" s="128"/>
      <c r="O26" s="14"/>
    </row>
    <row r="27" spans="1:24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9" t="s">
        <v>5</v>
      </c>
      <c r="L27" s="129"/>
      <c r="M27" s="62"/>
      <c r="N27" s="62"/>
      <c r="O27" s="14"/>
    </row>
    <row r="28" spans="1:24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</row>
    <row r="29" spans="1:24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</row>
    <row r="30" spans="1:24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8" t="s">
        <v>5</v>
      </c>
      <c r="M30" s="128"/>
      <c r="N30" s="128"/>
      <c r="O30" s="14"/>
    </row>
    <row r="31" spans="1:24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8"/>
      <c r="M31" s="128"/>
      <c r="N31" s="128"/>
      <c r="O31" s="14"/>
    </row>
    <row r="32" spans="1:24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</row>
    <row r="33" spans="3:16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</row>
    <row r="34" spans="3:16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</row>
    <row r="35" spans="3:16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</row>
    <row r="36" spans="3:16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</row>
    <row r="37" spans="3:16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</row>
    <row r="38" spans="3:16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</row>
    <row r="39" spans="3:16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</row>
    <row r="40" spans="3:16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</row>
    <row r="41" spans="3:16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</row>
    <row r="42" spans="3:16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</row>
    <row r="43" spans="3:16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3:16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M20" sqref="M2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131" t="s">
        <v>86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63" t="s">
        <v>53</v>
      </c>
      <c r="P1" s="41"/>
    </row>
    <row r="2" spans="1:24" ht="54.75" customHeight="1" thickBot="1">
      <c r="C2" s="132" t="s">
        <v>41</v>
      </c>
      <c r="D2" s="133" t="s">
        <v>40</v>
      </c>
      <c r="E2" s="133"/>
      <c r="F2" s="133"/>
      <c r="G2" s="133"/>
      <c r="H2" s="134" t="s">
        <v>39</v>
      </c>
      <c r="I2" s="134"/>
      <c r="J2" s="134"/>
      <c r="K2" s="135" t="s">
        <v>38</v>
      </c>
      <c r="L2" s="135"/>
      <c r="M2" s="135"/>
      <c r="N2" s="136" t="s">
        <v>87</v>
      </c>
      <c r="O2" s="147" t="s">
        <v>88</v>
      </c>
      <c r="P2" s="138" t="s">
        <v>37</v>
      </c>
    </row>
    <row r="3" spans="1:24" ht="38.25" customHeight="1" thickBot="1">
      <c r="C3" s="132"/>
      <c r="D3" s="139" t="s">
        <v>36</v>
      </c>
      <c r="E3" s="139" t="s">
        <v>35</v>
      </c>
      <c r="F3" s="139" t="s">
        <v>34</v>
      </c>
      <c r="G3" s="140" t="s">
        <v>29</v>
      </c>
      <c r="H3" s="141" t="s">
        <v>33</v>
      </c>
      <c r="I3" s="132" t="s">
        <v>32</v>
      </c>
      <c r="J3" s="142" t="s">
        <v>29</v>
      </c>
      <c r="K3" s="143" t="s">
        <v>31</v>
      </c>
      <c r="L3" s="132" t="s">
        <v>30</v>
      </c>
      <c r="M3" s="137" t="s">
        <v>29</v>
      </c>
      <c r="N3" s="136"/>
      <c r="O3" s="147"/>
      <c r="P3" s="138"/>
    </row>
    <row r="4" spans="1:24" ht="36.75" customHeight="1" thickBot="1">
      <c r="C4" s="132"/>
      <c r="D4" s="139"/>
      <c r="E4" s="139"/>
      <c r="F4" s="139"/>
      <c r="G4" s="140"/>
      <c r="H4" s="141"/>
      <c r="I4" s="132"/>
      <c r="J4" s="142"/>
      <c r="K4" s="143"/>
      <c r="L4" s="132"/>
      <c r="M4" s="137"/>
      <c r="N4" s="136"/>
      <c r="O4" s="147"/>
      <c r="P4" s="138"/>
      <c r="V4" s="1" t="s">
        <v>42</v>
      </c>
      <c r="W4" s="1" t="s">
        <v>43</v>
      </c>
      <c r="X4" s="1" t="s">
        <v>44</v>
      </c>
    </row>
    <row r="5" spans="1:24" s="8" customFormat="1" ht="35.1" customHeight="1" thickBot="1">
      <c r="A5" s="8">
        <v>13</v>
      </c>
      <c r="B5" s="50">
        <v>1</v>
      </c>
      <c r="C5" s="64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>SUM(I5/11)</f>
        <v>0</v>
      </c>
      <c r="L5" s="45" t="e">
        <f>+H5/K5</f>
        <v>#DIV/0!</v>
      </c>
      <c r="M5" s="43" t="b">
        <f>IF(AND(I5&lt;0,H5&lt;0),2,IF(AND(I5&gt;0,H5&gt;0),0,IF(AND(H5&lt;0,I5&gt;0),IF(ABS((H5/(I5/11)))&lt;3,0,IF(ABS((H5/(I5/11)))&gt;6,2,1)),IF(AND(H5&gt;0,I5&lt;0),IF(ABS((H5/(I5/11)))&lt;3,2,IF(ABS((H5/(I5/11)))&gt;6,0,1))))))</f>
        <v>0</v>
      </c>
      <c r="N5" s="46">
        <f t="shared" ref="N5:N20" si="2">SUM(G5+J5+M5)</f>
        <v>3</v>
      </c>
      <c r="O5" s="46">
        <f>ก.ค.63!N5</f>
        <v>3</v>
      </c>
      <c r="P5" s="53"/>
      <c r="R5" s="9"/>
      <c r="U5" s="10"/>
      <c r="V5" s="13"/>
      <c r="W5" s="13"/>
      <c r="X5" s="10"/>
    </row>
    <row r="6" spans="1:24" s="8" customFormat="1" ht="35.1" customHeight="1" thickBot="1">
      <c r="A6" s="8">
        <v>2</v>
      </c>
      <c r="B6" s="50">
        <v>2</v>
      </c>
      <c r="C6" s="64" t="s">
        <v>27</v>
      </c>
      <c r="D6" s="42"/>
      <c r="E6" s="42"/>
      <c r="F6" s="42"/>
      <c r="G6" s="55">
        <f t="shared" si="0"/>
        <v>3</v>
      </c>
      <c r="H6" s="68"/>
      <c r="I6" s="53"/>
      <c r="J6" s="55">
        <f>IF(I6&lt;0,1,0)+IF(H6&lt;0,1,0)</f>
        <v>0</v>
      </c>
      <c r="K6" s="51">
        <f t="shared" ref="K6:K20" si="3">SUM(I6/11)</f>
        <v>0</v>
      </c>
      <c r="L6" s="45" t="e">
        <f>+H6/K6</f>
        <v>#DIV/0!</v>
      </c>
      <c r="M6" s="43" t="b">
        <f t="shared" ref="M6:M20" si="4">IF(AND(I6&lt;0,H6&lt;0),2,IF(AND(I6&gt;0,H6&gt;0),0,IF(AND(H6&lt;0,I6&gt;0),IF(ABS((H6/(I6/11)))&lt;3,0,IF(ABS((H6/(I6/11)))&gt;6,2,1)),IF(AND(H6&gt;0,I6&lt;0),IF(ABS((H6/(I6/11)))&lt;3,2,IF(ABS((H6/(I6/11)))&gt;6,0,1))))))</f>
        <v>0</v>
      </c>
      <c r="N6" s="46">
        <f>SUM(G6+J6+M6)</f>
        <v>3</v>
      </c>
      <c r="O6" s="46">
        <f>ก.ค.63!N6</f>
        <v>3</v>
      </c>
      <c r="P6" s="68"/>
      <c r="R6" s="9"/>
      <c r="U6" s="10"/>
      <c r="V6" s="13"/>
      <c r="W6" s="13"/>
      <c r="X6" s="10"/>
    </row>
    <row r="7" spans="1:24" s="8" customFormat="1" ht="35.1" customHeight="1" thickBot="1">
      <c r="A7" s="8">
        <v>8</v>
      </c>
      <c r="B7" s="50">
        <v>3</v>
      </c>
      <c r="C7" s="64" t="s">
        <v>26</v>
      </c>
      <c r="D7" s="42"/>
      <c r="E7" s="47"/>
      <c r="F7" s="47"/>
      <c r="G7" s="42">
        <f t="shared" si="0"/>
        <v>3</v>
      </c>
      <c r="H7" s="53"/>
      <c r="I7" s="53"/>
      <c r="J7" s="47">
        <f t="shared" si="1"/>
        <v>0</v>
      </c>
      <c r="K7" s="51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ก.ค.63!N7</f>
        <v>3</v>
      </c>
      <c r="P7" s="68"/>
      <c r="R7" s="9"/>
      <c r="U7" s="10"/>
      <c r="V7" s="13"/>
      <c r="W7" s="13"/>
      <c r="X7" s="10"/>
    </row>
    <row r="8" spans="1:24" s="8" customFormat="1" ht="35.1" customHeight="1" thickBot="1">
      <c r="A8" s="8">
        <v>16</v>
      </c>
      <c r="B8" s="50">
        <v>4</v>
      </c>
      <c r="C8" s="64" t="s">
        <v>25</v>
      </c>
      <c r="D8" s="47"/>
      <c r="E8" s="47"/>
      <c r="F8" s="47"/>
      <c r="G8" s="66">
        <f t="shared" si="0"/>
        <v>3</v>
      </c>
      <c r="H8" s="53"/>
      <c r="I8" s="53"/>
      <c r="J8" s="66">
        <f t="shared" si="1"/>
        <v>0</v>
      </c>
      <c r="K8" s="51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ก.ค.63!N8</f>
        <v>3</v>
      </c>
      <c r="P8" s="53"/>
      <c r="R8" s="9"/>
      <c r="U8" s="10"/>
      <c r="V8" s="13"/>
      <c r="W8" s="13"/>
      <c r="X8" s="10"/>
    </row>
    <row r="9" spans="1:24" s="8" customFormat="1" ht="35.1" customHeight="1" thickBot="1">
      <c r="A9" s="8">
        <v>14</v>
      </c>
      <c r="B9" s="50">
        <v>5</v>
      </c>
      <c r="C9" s="64" t="s">
        <v>24</v>
      </c>
      <c r="D9" s="47"/>
      <c r="E9" s="57"/>
      <c r="F9" s="47"/>
      <c r="G9" s="47">
        <f t="shared" si="0"/>
        <v>3</v>
      </c>
      <c r="H9" s="53"/>
      <c r="I9" s="53"/>
      <c r="J9" s="47">
        <f t="shared" si="1"/>
        <v>0</v>
      </c>
      <c r="K9" s="51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ก.ค.63!N9</f>
        <v>3</v>
      </c>
      <c r="P9" s="53"/>
      <c r="R9" s="9"/>
      <c r="U9" s="10"/>
      <c r="V9" s="13"/>
      <c r="W9" s="13"/>
      <c r="X9" s="10"/>
    </row>
    <row r="10" spans="1:24" s="8" customFormat="1" ht="35.1" customHeight="1" thickBot="1">
      <c r="A10" s="8">
        <v>10</v>
      </c>
      <c r="B10" s="50">
        <v>6</v>
      </c>
      <c r="C10" s="65" t="s">
        <v>23</v>
      </c>
      <c r="D10" s="42"/>
      <c r="E10" s="47"/>
      <c r="F10" s="47"/>
      <c r="G10" s="42">
        <f t="shared" si="0"/>
        <v>3</v>
      </c>
      <c r="H10" s="53"/>
      <c r="I10" s="53"/>
      <c r="J10" s="47">
        <f t="shared" si="1"/>
        <v>0</v>
      </c>
      <c r="K10" s="51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ก.ค.63!N10</f>
        <v>3</v>
      </c>
      <c r="P10" s="53"/>
      <c r="R10" s="9"/>
      <c r="U10" s="10"/>
      <c r="V10" s="13"/>
      <c r="W10" s="13"/>
      <c r="X10" s="10"/>
    </row>
    <row r="11" spans="1:24" s="8" customFormat="1" ht="35.1" customHeight="1" thickBot="1">
      <c r="A11" s="8">
        <v>11</v>
      </c>
      <c r="B11" s="50">
        <v>7</v>
      </c>
      <c r="C11" s="65" t="s">
        <v>22</v>
      </c>
      <c r="D11" s="47"/>
      <c r="E11" s="47"/>
      <c r="F11" s="47"/>
      <c r="G11" s="47">
        <f t="shared" si="0"/>
        <v>3</v>
      </c>
      <c r="H11" s="53"/>
      <c r="I11" s="53"/>
      <c r="J11" s="47">
        <f t="shared" si="1"/>
        <v>0</v>
      </c>
      <c r="K11" s="51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ก.ค.63!N11</f>
        <v>3</v>
      </c>
      <c r="P11" s="68"/>
      <c r="R11" s="9"/>
      <c r="U11" s="10"/>
      <c r="V11" s="13"/>
      <c r="W11" s="13"/>
      <c r="X11" s="10"/>
    </row>
    <row r="12" spans="1:24" s="8" customFormat="1" ht="35.1" customHeight="1" thickBot="1">
      <c r="A12" s="8">
        <v>4</v>
      </c>
      <c r="B12" s="50">
        <v>8</v>
      </c>
      <c r="C12" s="65" t="s">
        <v>21</v>
      </c>
      <c r="D12" s="42"/>
      <c r="E12" s="47"/>
      <c r="F12" s="47"/>
      <c r="G12" s="42">
        <f t="shared" si="0"/>
        <v>3</v>
      </c>
      <c r="H12" s="53"/>
      <c r="I12" s="53"/>
      <c r="J12" s="47">
        <f t="shared" si="1"/>
        <v>0</v>
      </c>
      <c r="K12" s="51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ก.ค.63!N12</f>
        <v>3</v>
      </c>
      <c r="P12" s="53"/>
      <c r="R12" s="9"/>
      <c r="U12" s="10"/>
      <c r="V12" s="13"/>
      <c r="W12" s="13"/>
      <c r="X12" s="10"/>
    </row>
    <row r="13" spans="1:24" s="8" customFormat="1" ht="35.1" customHeight="1" thickBot="1">
      <c r="A13" s="8">
        <v>5</v>
      </c>
      <c r="B13" s="50">
        <v>9</v>
      </c>
      <c r="C13" s="65" t="s">
        <v>20</v>
      </c>
      <c r="D13" s="47"/>
      <c r="E13" s="47"/>
      <c r="F13" s="47"/>
      <c r="G13" s="47">
        <f t="shared" si="0"/>
        <v>3</v>
      </c>
      <c r="H13" s="53"/>
      <c r="I13" s="53"/>
      <c r="J13" s="47">
        <f t="shared" si="1"/>
        <v>0</v>
      </c>
      <c r="K13" s="51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ก.ค.63!N13</f>
        <v>3</v>
      </c>
      <c r="P13" s="53"/>
      <c r="R13" s="9"/>
      <c r="U13" s="10"/>
      <c r="V13" s="13"/>
      <c r="W13" s="13"/>
      <c r="X13" s="10"/>
    </row>
    <row r="14" spans="1:24" s="8" customFormat="1" ht="35.1" customHeight="1" thickBot="1">
      <c r="A14" s="8">
        <v>3</v>
      </c>
      <c r="B14" s="50">
        <v>10</v>
      </c>
      <c r="C14" s="65" t="s">
        <v>19</v>
      </c>
      <c r="D14" s="47"/>
      <c r="E14" s="47"/>
      <c r="F14" s="47"/>
      <c r="G14" s="47">
        <f t="shared" si="0"/>
        <v>3</v>
      </c>
      <c r="H14" s="53"/>
      <c r="I14" s="53"/>
      <c r="J14" s="47">
        <f t="shared" si="1"/>
        <v>0</v>
      </c>
      <c r="K14" s="51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ก.ค.63!N14</f>
        <v>3</v>
      </c>
      <c r="P14" s="53"/>
      <c r="R14" s="9"/>
      <c r="U14" s="10"/>
      <c r="V14" s="13"/>
      <c r="W14" s="13"/>
      <c r="X14" s="10"/>
    </row>
    <row r="15" spans="1:24" s="8" customFormat="1" ht="35.1" customHeight="1" thickBot="1">
      <c r="A15" s="8">
        <v>9</v>
      </c>
      <c r="B15" s="50">
        <v>11</v>
      </c>
      <c r="C15" s="65" t="s">
        <v>18</v>
      </c>
      <c r="D15" s="47"/>
      <c r="E15" s="47"/>
      <c r="F15" s="47"/>
      <c r="G15" s="47">
        <f t="shared" si="0"/>
        <v>3</v>
      </c>
      <c r="H15" s="53"/>
      <c r="I15" s="53"/>
      <c r="J15" s="47">
        <f t="shared" si="1"/>
        <v>0</v>
      </c>
      <c r="K15" s="51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ก.ค.63!N15</f>
        <v>3</v>
      </c>
      <c r="P15" s="53"/>
      <c r="R15" s="9"/>
      <c r="U15" s="10"/>
      <c r="V15" s="13"/>
      <c r="W15" s="13"/>
      <c r="X15" s="10"/>
    </row>
    <row r="16" spans="1:24" s="8" customFormat="1" ht="35.1" customHeight="1" thickBot="1">
      <c r="A16" s="8">
        <v>15</v>
      </c>
      <c r="B16" s="50">
        <v>12</v>
      </c>
      <c r="C16" s="65" t="s">
        <v>17</v>
      </c>
      <c r="D16" s="47"/>
      <c r="E16" s="47"/>
      <c r="F16" s="47"/>
      <c r="G16" s="47">
        <f t="shared" si="0"/>
        <v>3</v>
      </c>
      <c r="H16" s="53"/>
      <c r="I16" s="67"/>
      <c r="J16" s="47">
        <f t="shared" si="1"/>
        <v>0</v>
      </c>
      <c r="K16" s="51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ก.ค.63!N16</f>
        <v>3</v>
      </c>
      <c r="P16" s="53"/>
      <c r="R16" s="9"/>
      <c r="U16" s="10"/>
      <c r="V16" s="13"/>
      <c r="W16" s="13"/>
      <c r="X16" s="10"/>
    </row>
    <row r="17" spans="1:24" s="8" customFormat="1" ht="35.1" customHeight="1" thickBot="1">
      <c r="A17" s="8">
        <v>6</v>
      </c>
      <c r="B17" s="50">
        <v>13</v>
      </c>
      <c r="C17" s="65" t="s">
        <v>16</v>
      </c>
      <c r="D17" s="47"/>
      <c r="E17" s="47"/>
      <c r="F17" s="47"/>
      <c r="G17" s="47">
        <f t="shared" si="0"/>
        <v>3</v>
      </c>
      <c r="H17" s="53"/>
      <c r="I17" s="53"/>
      <c r="J17" s="47">
        <f t="shared" si="1"/>
        <v>0</v>
      </c>
      <c r="K17" s="51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ก.ค.63!N17</f>
        <v>3</v>
      </c>
      <c r="P17" s="53"/>
      <c r="R17" s="9"/>
      <c r="U17" s="10"/>
      <c r="V17" s="13"/>
      <c r="W17" s="13"/>
      <c r="X17" s="10"/>
    </row>
    <row r="18" spans="1:24" s="8" customFormat="1" ht="35.1" customHeight="1" thickBot="1">
      <c r="A18" s="8">
        <v>1</v>
      </c>
      <c r="B18" s="50">
        <v>14</v>
      </c>
      <c r="C18" s="65" t="s">
        <v>15</v>
      </c>
      <c r="D18" s="47"/>
      <c r="E18" s="47"/>
      <c r="F18" s="57"/>
      <c r="G18" s="47">
        <f t="shared" si="0"/>
        <v>3</v>
      </c>
      <c r="H18" s="53"/>
      <c r="I18" s="53"/>
      <c r="J18" s="47">
        <f t="shared" si="1"/>
        <v>0</v>
      </c>
      <c r="K18" s="51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ก.ค.63!N18</f>
        <v>3</v>
      </c>
      <c r="P18" s="53"/>
      <c r="R18" s="9"/>
      <c r="U18" s="10"/>
      <c r="V18" s="13"/>
      <c r="W18" s="13"/>
      <c r="X18" s="10"/>
    </row>
    <row r="19" spans="1:24" s="8" customFormat="1" ht="35.1" customHeight="1" thickBot="1">
      <c r="A19" s="8">
        <v>7</v>
      </c>
      <c r="B19" s="50">
        <v>15</v>
      </c>
      <c r="C19" s="65" t="s">
        <v>14</v>
      </c>
      <c r="D19" s="42"/>
      <c r="E19" s="47"/>
      <c r="F19" s="47"/>
      <c r="G19" s="42">
        <f t="shared" si="0"/>
        <v>3</v>
      </c>
      <c r="H19" s="53"/>
      <c r="I19" s="53"/>
      <c r="J19" s="47">
        <f t="shared" si="1"/>
        <v>0</v>
      </c>
      <c r="K19" s="51">
        <f t="shared" si="3"/>
        <v>0</v>
      </c>
      <c r="L19" s="45" t="e">
        <f t="shared" si="5"/>
        <v>#DIV/0!</v>
      </c>
      <c r="M19" s="43" t="b">
        <f t="shared" si="4"/>
        <v>0</v>
      </c>
      <c r="N19" s="46">
        <f t="shared" si="2"/>
        <v>3</v>
      </c>
      <c r="O19" s="46">
        <f>ก.ค.63!N19</f>
        <v>3</v>
      </c>
      <c r="P19" s="68"/>
      <c r="R19" s="9"/>
      <c r="U19" s="10"/>
      <c r="V19" s="13"/>
      <c r="W19" s="13"/>
      <c r="X19" s="10"/>
    </row>
    <row r="20" spans="1:24" s="8" customFormat="1" ht="35.1" customHeight="1" thickBot="1">
      <c r="A20" s="8">
        <v>12</v>
      </c>
      <c r="B20" s="50">
        <v>16</v>
      </c>
      <c r="C20" s="64" t="s">
        <v>13</v>
      </c>
      <c r="D20" s="47"/>
      <c r="E20" s="47"/>
      <c r="F20" s="47"/>
      <c r="G20" s="47">
        <f t="shared" si="0"/>
        <v>3</v>
      </c>
      <c r="H20" s="53"/>
      <c r="I20" s="53"/>
      <c r="J20" s="47">
        <f t="shared" si="1"/>
        <v>0</v>
      </c>
      <c r="K20" s="51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ก.ค.63!N20</f>
        <v>3</v>
      </c>
      <c r="P20" s="53"/>
      <c r="R20" s="9"/>
      <c r="U20" s="10"/>
      <c r="V20" s="13"/>
      <c r="W20" s="13"/>
      <c r="X20" s="10"/>
    </row>
    <row r="21" spans="1:24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60"/>
      <c r="V21" s="12"/>
      <c r="W21" s="12"/>
      <c r="X21" s="11"/>
    </row>
    <row r="22" spans="1:24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</row>
    <row r="23" spans="1:24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8" t="s">
        <v>5</v>
      </c>
      <c r="M23" s="128"/>
      <c r="N23" s="128"/>
      <c r="O23" s="14"/>
    </row>
    <row r="24" spans="1:24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8"/>
      <c r="M24" s="128"/>
      <c r="N24" s="128"/>
      <c r="O24" s="14"/>
    </row>
    <row r="25" spans="1:24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8" t="s">
        <v>5</v>
      </c>
      <c r="M25" s="128"/>
      <c r="N25" s="128"/>
      <c r="O25" s="14"/>
    </row>
    <row r="26" spans="1:24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8"/>
      <c r="M26" s="128"/>
      <c r="N26" s="128"/>
      <c r="O26" s="14"/>
    </row>
    <row r="27" spans="1:24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9" t="s">
        <v>5</v>
      </c>
      <c r="L27" s="129"/>
      <c r="M27" s="62"/>
      <c r="N27" s="62"/>
      <c r="O27" s="14"/>
    </row>
    <row r="28" spans="1:24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</row>
    <row r="29" spans="1:24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</row>
    <row r="30" spans="1:24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8" t="s">
        <v>5</v>
      </c>
      <c r="M30" s="128"/>
      <c r="N30" s="128"/>
      <c r="O30" s="14"/>
    </row>
    <row r="31" spans="1:24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8"/>
      <c r="M31" s="128"/>
      <c r="N31" s="128"/>
      <c r="O31" s="14"/>
    </row>
    <row r="32" spans="1:24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</row>
    <row r="33" spans="3:16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</row>
    <row r="34" spans="3:16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</row>
    <row r="35" spans="3:16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</row>
    <row r="36" spans="3:16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</row>
    <row r="37" spans="3:16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</row>
    <row r="38" spans="3:16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</row>
    <row r="39" spans="3:16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</row>
    <row r="40" spans="3:16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</row>
    <row r="41" spans="3:16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</row>
    <row r="42" spans="3:16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</row>
    <row r="43" spans="3:16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3:16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M20" sqref="M2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131" t="s">
        <v>89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63" t="s">
        <v>53</v>
      </c>
      <c r="P1" s="41"/>
    </row>
    <row r="2" spans="1:24" ht="54.75" customHeight="1" thickBot="1">
      <c r="C2" s="132" t="s">
        <v>41</v>
      </c>
      <c r="D2" s="133" t="s">
        <v>40</v>
      </c>
      <c r="E2" s="133"/>
      <c r="F2" s="133"/>
      <c r="G2" s="133"/>
      <c r="H2" s="134" t="s">
        <v>39</v>
      </c>
      <c r="I2" s="134"/>
      <c r="J2" s="134"/>
      <c r="K2" s="135" t="s">
        <v>38</v>
      </c>
      <c r="L2" s="135"/>
      <c r="M2" s="135"/>
      <c r="N2" s="136" t="s">
        <v>90</v>
      </c>
      <c r="O2" s="147" t="s">
        <v>91</v>
      </c>
      <c r="P2" s="138" t="s">
        <v>37</v>
      </c>
    </row>
    <row r="3" spans="1:24" ht="38.25" customHeight="1" thickBot="1">
      <c r="C3" s="132"/>
      <c r="D3" s="139" t="s">
        <v>36</v>
      </c>
      <c r="E3" s="139" t="s">
        <v>35</v>
      </c>
      <c r="F3" s="139" t="s">
        <v>34</v>
      </c>
      <c r="G3" s="140" t="s">
        <v>29</v>
      </c>
      <c r="H3" s="141" t="s">
        <v>33</v>
      </c>
      <c r="I3" s="132" t="s">
        <v>32</v>
      </c>
      <c r="J3" s="142" t="s">
        <v>29</v>
      </c>
      <c r="K3" s="143" t="s">
        <v>31</v>
      </c>
      <c r="L3" s="132" t="s">
        <v>30</v>
      </c>
      <c r="M3" s="137" t="s">
        <v>29</v>
      </c>
      <c r="N3" s="136"/>
      <c r="O3" s="147"/>
      <c r="P3" s="138"/>
    </row>
    <row r="4" spans="1:24" ht="36.75" customHeight="1" thickBot="1">
      <c r="C4" s="132"/>
      <c r="D4" s="139"/>
      <c r="E4" s="139"/>
      <c r="F4" s="139"/>
      <c r="G4" s="140"/>
      <c r="H4" s="141"/>
      <c r="I4" s="132"/>
      <c r="J4" s="142"/>
      <c r="K4" s="143"/>
      <c r="L4" s="132"/>
      <c r="M4" s="137"/>
      <c r="N4" s="136"/>
      <c r="O4" s="147"/>
      <c r="P4" s="138"/>
      <c r="V4" s="1" t="s">
        <v>42</v>
      </c>
      <c r="W4" s="1" t="s">
        <v>43</v>
      </c>
      <c r="X4" s="1" t="s">
        <v>44</v>
      </c>
    </row>
    <row r="5" spans="1:24" s="8" customFormat="1" ht="35.1" customHeight="1" thickBot="1">
      <c r="A5" s="8">
        <v>13</v>
      </c>
      <c r="B5" s="50">
        <v>1</v>
      </c>
      <c r="C5" s="64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>SUM(I5/12)</f>
        <v>0</v>
      </c>
      <c r="L5" s="45" t="e">
        <f>+H5/K5</f>
        <v>#DIV/0!</v>
      </c>
      <c r="M5" s="43" t="b">
        <f>IF(AND(I5&lt;0,H5&lt;0),2,IF(AND(I5&gt;0,H5&gt;0),0,IF(AND(H5&lt;0,I5&gt;0),IF(ABS((H5/(I5/12)))&lt;3,0,IF(ABS((H5/(I5/12)))&gt;6,2,1)),IF(AND(H5&gt;0,I5&lt;0),IF(ABS((H5/(I5/12)))&lt;3,2,IF(ABS((H5/(I5/12)))&gt;6,0,1))))))</f>
        <v>0</v>
      </c>
      <c r="N5" s="46">
        <f t="shared" ref="N5:N20" si="2">SUM(G5+J5+M5)</f>
        <v>3</v>
      </c>
      <c r="O5" s="46">
        <f>ส.ค.63!N5</f>
        <v>3</v>
      </c>
      <c r="P5" s="53"/>
      <c r="R5" s="9"/>
      <c r="U5" s="10"/>
      <c r="V5" s="13"/>
      <c r="W5" s="13"/>
      <c r="X5" s="10"/>
    </row>
    <row r="6" spans="1:24" s="8" customFormat="1" ht="35.1" customHeight="1" thickBot="1">
      <c r="A6" s="8">
        <v>2</v>
      </c>
      <c r="B6" s="50">
        <v>2</v>
      </c>
      <c r="C6" s="64" t="s">
        <v>27</v>
      </c>
      <c r="D6" s="42"/>
      <c r="E6" s="42"/>
      <c r="F6" s="42"/>
      <c r="G6" s="55">
        <f t="shared" si="0"/>
        <v>3</v>
      </c>
      <c r="H6" s="68"/>
      <c r="I6" s="53"/>
      <c r="J6" s="55">
        <f>IF(I6&lt;0,1,0)+IF(H6&lt;0,1,0)</f>
        <v>0</v>
      </c>
      <c r="K6" s="51">
        <f t="shared" ref="K6:K20" si="3">SUM(I6/12)</f>
        <v>0</v>
      </c>
      <c r="L6" s="45" t="e">
        <f>+H6/K6</f>
        <v>#DIV/0!</v>
      </c>
      <c r="M6" s="43" t="b">
        <f t="shared" ref="M6:M20" si="4">IF(AND(I6&lt;0,H6&lt;0),2,IF(AND(I6&gt;0,H6&gt;0),0,IF(AND(H6&lt;0,I6&gt;0),IF(ABS((H6/(I6/12)))&lt;3,0,IF(ABS((H6/(I6/12)))&gt;6,2,1)),IF(AND(H6&gt;0,I6&lt;0),IF(ABS((H6/(I6/12)))&lt;3,2,IF(ABS((H6/(I6/12)))&gt;6,0,1))))))</f>
        <v>0</v>
      </c>
      <c r="N6" s="46">
        <f>SUM(G6+J6+M6)</f>
        <v>3</v>
      </c>
      <c r="O6" s="46">
        <f>ส.ค.63!N6</f>
        <v>3</v>
      </c>
      <c r="P6" s="68"/>
      <c r="R6" s="9"/>
      <c r="U6" s="10"/>
      <c r="V6" s="13"/>
      <c r="W6" s="13"/>
      <c r="X6" s="10"/>
    </row>
    <row r="7" spans="1:24" s="8" customFormat="1" ht="35.1" customHeight="1" thickBot="1">
      <c r="A7" s="8">
        <v>8</v>
      </c>
      <c r="B7" s="50">
        <v>3</v>
      </c>
      <c r="C7" s="64" t="s">
        <v>26</v>
      </c>
      <c r="D7" s="42"/>
      <c r="E7" s="47"/>
      <c r="F7" s="47"/>
      <c r="G7" s="42">
        <f t="shared" si="0"/>
        <v>3</v>
      </c>
      <c r="H7" s="53"/>
      <c r="I7" s="53"/>
      <c r="J7" s="47">
        <f t="shared" si="1"/>
        <v>0</v>
      </c>
      <c r="K7" s="51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ส.ค.63!N7</f>
        <v>3</v>
      </c>
      <c r="P7" s="68"/>
      <c r="R7" s="9"/>
      <c r="U7" s="10"/>
      <c r="V7" s="13"/>
      <c r="W7" s="13"/>
      <c r="X7" s="10"/>
    </row>
    <row r="8" spans="1:24" s="8" customFormat="1" ht="35.1" customHeight="1" thickBot="1">
      <c r="A8" s="8">
        <v>16</v>
      </c>
      <c r="B8" s="50">
        <v>4</v>
      </c>
      <c r="C8" s="64" t="s">
        <v>25</v>
      </c>
      <c r="D8" s="47"/>
      <c r="E8" s="47"/>
      <c r="F8" s="47"/>
      <c r="G8" s="66">
        <f t="shared" si="0"/>
        <v>3</v>
      </c>
      <c r="H8" s="53"/>
      <c r="I8" s="53"/>
      <c r="J8" s="66">
        <f t="shared" si="1"/>
        <v>0</v>
      </c>
      <c r="K8" s="51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ส.ค.63!N8</f>
        <v>3</v>
      </c>
      <c r="P8" s="53"/>
      <c r="R8" s="9"/>
      <c r="U8" s="10"/>
      <c r="V8" s="13"/>
      <c r="W8" s="13"/>
      <c r="X8" s="10"/>
    </row>
    <row r="9" spans="1:24" s="8" customFormat="1" ht="35.1" customHeight="1" thickBot="1">
      <c r="A9" s="8">
        <v>14</v>
      </c>
      <c r="B9" s="50">
        <v>5</v>
      </c>
      <c r="C9" s="64" t="s">
        <v>24</v>
      </c>
      <c r="D9" s="47"/>
      <c r="E9" s="57"/>
      <c r="F9" s="47"/>
      <c r="G9" s="47">
        <f t="shared" si="0"/>
        <v>3</v>
      </c>
      <c r="H9" s="53"/>
      <c r="I9" s="53"/>
      <c r="J9" s="47">
        <f t="shared" si="1"/>
        <v>0</v>
      </c>
      <c r="K9" s="51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ส.ค.63!N9</f>
        <v>3</v>
      </c>
      <c r="P9" s="53"/>
      <c r="R9" s="9"/>
      <c r="U9" s="10"/>
      <c r="V9" s="13"/>
      <c r="W9" s="13"/>
      <c r="X9" s="10"/>
    </row>
    <row r="10" spans="1:24" s="8" customFormat="1" ht="35.1" customHeight="1" thickBot="1">
      <c r="A10" s="8">
        <v>10</v>
      </c>
      <c r="B10" s="50">
        <v>6</v>
      </c>
      <c r="C10" s="65" t="s">
        <v>23</v>
      </c>
      <c r="D10" s="42"/>
      <c r="E10" s="47"/>
      <c r="F10" s="47"/>
      <c r="G10" s="42">
        <f t="shared" si="0"/>
        <v>3</v>
      </c>
      <c r="H10" s="53"/>
      <c r="I10" s="53"/>
      <c r="J10" s="47">
        <f t="shared" si="1"/>
        <v>0</v>
      </c>
      <c r="K10" s="51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ส.ค.63!N10</f>
        <v>3</v>
      </c>
      <c r="P10" s="53"/>
      <c r="R10" s="9"/>
      <c r="U10" s="10"/>
      <c r="V10" s="13"/>
      <c r="W10" s="13"/>
      <c r="X10" s="10"/>
    </row>
    <row r="11" spans="1:24" s="8" customFormat="1" ht="35.1" customHeight="1" thickBot="1">
      <c r="A11" s="8">
        <v>11</v>
      </c>
      <c r="B11" s="50">
        <v>7</v>
      </c>
      <c r="C11" s="65" t="s">
        <v>22</v>
      </c>
      <c r="D11" s="47"/>
      <c r="E11" s="47"/>
      <c r="F11" s="47"/>
      <c r="G11" s="47">
        <f t="shared" si="0"/>
        <v>3</v>
      </c>
      <c r="H11" s="53"/>
      <c r="I11" s="53"/>
      <c r="J11" s="47">
        <f t="shared" si="1"/>
        <v>0</v>
      </c>
      <c r="K11" s="51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ส.ค.63!N11</f>
        <v>3</v>
      </c>
      <c r="P11" s="68"/>
      <c r="R11" s="9"/>
      <c r="U11" s="10"/>
      <c r="V11" s="13"/>
      <c r="W11" s="13"/>
      <c r="X11" s="10"/>
    </row>
    <row r="12" spans="1:24" s="8" customFormat="1" ht="35.1" customHeight="1" thickBot="1">
      <c r="A12" s="8">
        <v>4</v>
      </c>
      <c r="B12" s="50">
        <v>8</v>
      </c>
      <c r="C12" s="65" t="s">
        <v>21</v>
      </c>
      <c r="D12" s="42"/>
      <c r="E12" s="47"/>
      <c r="F12" s="47"/>
      <c r="G12" s="42">
        <f t="shared" si="0"/>
        <v>3</v>
      </c>
      <c r="H12" s="53"/>
      <c r="I12" s="53"/>
      <c r="J12" s="47">
        <f t="shared" si="1"/>
        <v>0</v>
      </c>
      <c r="K12" s="51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ส.ค.63!N12</f>
        <v>3</v>
      </c>
      <c r="P12" s="53"/>
      <c r="R12" s="9"/>
      <c r="U12" s="10"/>
      <c r="V12" s="13"/>
      <c r="W12" s="13"/>
      <c r="X12" s="10"/>
    </row>
    <row r="13" spans="1:24" s="8" customFormat="1" ht="35.1" customHeight="1" thickBot="1">
      <c r="A13" s="8">
        <v>5</v>
      </c>
      <c r="B13" s="50">
        <v>9</v>
      </c>
      <c r="C13" s="65" t="s">
        <v>20</v>
      </c>
      <c r="D13" s="47"/>
      <c r="E13" s="47"/>
      <c r="F13" s="47"/>
      <c r="G13" s="47">
        <f t="shared" si="0"/>
        <v>3</v>
      </c>
      <c r="H13" s="53"/>
      <c r="I13" s="53"/>
      <c r="J13" s="47">
        <f t="shared" si="1"/>
        <v>0</v>
      </c>
      <c r="K13" s="51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ส.ค.63!N13</f>
        <v>3</v>
      </c>
      <c r="P13" s="53"/>
      <c r="R13" s="9"/>
      <c r="U13" s="10"/>
      <c r="V13" s="13"/>
      <c r="W13" s="13"/>
      <c r="X13" s="10"/>
    </row>
    <row r="14" spans="1:24" s="8" customFormat="1" ht="35.1" customHeight="1" thickBot="1">
      <c r="A14" s="8">
        <v>3</v>
      </c>
      <c r="B14" s="50">
        <v>10</v>
      </c>
      <c r="C14" s="65" t="s">
        <v>19</v>
      </c>
      <c r="D14" s="47"/>
      <c r="E14" s="47"/>
      <c r="F14" s="47"/>
      <c r="G14" s="47">
        <f t="shared" si="0"/>
        <v>3</v>
      </c>
      <c r="H14" s="53"/>
      <c r="I14" s="53"/>
      <c r="J14" s="47">
        <f t="shared" si="1"/>
        <v>0</v>
      </c>
      <c r="K14" s="51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ส.ค.63!N14</f>
        <v>3</v>
      </c>
      <c r="P14" s="53"/>
      <c r="R14" s="9"/>
      <c r="U14" s="10"/>
      <c r="V14" s="13"/>
      <c r="W14" s="13"/>
      <c r="X14" s="10"/>
    </row>
    <row r="15" spans="1:24" s="8" customFormat="1" ht="35.1" customHeight="1" thickBot="1">
      <c r="A15" s="8">
        <v>9</v>
      </c>
      <c r="B15" s="50">
        <v>11</v>
      </c>
      <c r="C15" s="65" t="s">
        <v>18</v>
      </c>
      <c r="D15" s="47"/>
      <c r="E15" s="47"/>
      <c r="F15" s="47"/>
      <c r="G15" s="47">
        <f t="shared" si="0"/>
        <v>3</v>
      </c>
      <c r="H15" s="53"/>
      <c r="I15" s="53"/>
      <c r="J15" s="47">
        <f t="shared" si="1"/>
        <v>0</v>
      </c>
      <c r="K15" s="51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ส.ค.63!N15</f>
        <v>3</v>
      </c>
      <c r="P15" s="53"/>
      <c r="R15" s="9"/>
      <c r="U15" s="10"/>
      <c r="V15" s="13"/>
      <c r="W15" s="13"/>
      <c r="X15" s="10"/>
    </row>
    <row r="16" spans="1:24" s="8" customFormat="1" ht="35.1" customHeight="1" thickBot="1">
      <c r="A16" s="8">
        <v>15</v>
      </c>
      <c r="B16" s="50">
        <v>12</v>
      </c>
      <c r="C16" s="65" t="s">
        <v>17</v>
      </c>
      <c r="D16" s="47"/>
      <c r="E16" s="47"/>
      <c r="F16" s="47"/>
      <c r="G16" s="47">
        <f t="shared" si="0"/>
        <v>3</v>
      </c>
      <c r="H16" s="53"/>
      <c r="I16" s="67"/>
      <c r="J16" s="47">
        <f t="shared" si="1"/>
        <v>0</v>
      </c>
      <c r="K16" s="51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ส.ค.63!N16</f>
        <v>3</v>
      </c>
      <c r="P16" s="53"/>
      <c r="R16" s="9"/>
      <c r="U16" s="10"/>
      <c r="V16" s="13"/>
      <c r="W16" s="13"/>
      <c r="X16" s="10"/>
    </row>
    <row r="17" spans="1:24" s="8" customFormat="1" ht="35.1" customHeight="1" thickBot="1">
      <c r="A17" s="8">
        <v>6</v>
      </c>
      <c r="B17" s="50">
        <v>13</v>
      </c>
      <c r="C17" s="65" t="s">
        <v>16</v>
      </c>
      <c r="D17" s="47"/>
      <c r="E17" s="47"/>
      <c r="F17" s="47"/>
      <c r="G17" s="47">
        <f t="shared" si="0"/>
        <v>3</v>
      </c>
      <c r="H17" s="53"/>
      <c r="I17" s="53"/>
      <c r="J17" s="47">
        <f t="shared" si="1"/>
        <v>0</v>
      </c>
      <c r="K17" s="51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ส.ค.63!N17</f>
        <v>3</v>
      </c>
      <c r="P17" s="53"/>
      <c r="R17" s="9"/>
      <c r="U17" s="10"/>
      <c r="V17" s="13"/>
      <c r="W17" s="13"/>
      <c r="X17" s="10"/>
    </row>
    <row r="18" spans="1:24" s="8" customFormat="1" ht="35.1" customHeight="1" thickBot="1">
      <c r="A18" s="8">
        <v>1</v>
      </c>
      <c r="B18" s="50">
        <v>14</v>
      </c>
      <c r="C18" s="65" t="s">
        <v>15</v>
      </c>
      <c r="D18" s="47"/>
      <c r="E18" s="47"/>
      <c r="F18" s="57"/>
      <c r="G18" s="47">
        <f t="shared" si="0"/>
        <v>3</v>
      </c>
      <c r="H18" s="53"/>
      <c r="I18" s="53"/>
      <c r="J18" s="47">
        <f t="shared" si="1"/>
        <v>0</v>
      </c>
      <c r="K18" s="51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ส.ค.63!N18</f>
        <v>3</v>
      </c>
      <c r="P18" s="53"/>
      <c r="R18" s="9"/>
      <c r="U18" s="10"/>
      <c r="V18" s="13"/>
      <c r="W18" s="13"/>
      <c r="X18" s="10"/>
    </row>
    <row r="19" spans="1:24" s="8" customFormat="1" ht="35.1" customHeight="1" thickBot="1">
      <c r="A19" s="8">
        <v>7</v>
      </c>
      <c r="B19" s="50">
        <v>15</v>
      </c>
      <c r="C19" s="65" t="s">
        <v>14</v>
      </c>
      <c r="D19" s="42"/>
      <c r="E19" s="47"/>
      <c r="F19" s="47"/>
      <c r="G19" s="42">
        <f t="shared" si="0"/>
        <v>3</v>
      </c>
      <c r="H19" s="53"/>
      <c r="I19" s="53"/>
      <c r="J19" s="47">
        <f t="shared" si="1"/>
        <v>0</v>
      </c>
      <c r="K19" s="51">
        <f t="shared" si="3"/>
        <v>0</v>
      </c>
      <c r="L19" s="45" t="e">
        <f t="shared" si="5"/>
        <v>#DIV/0!</v>
      </c>
      <c r="M19" s="43" t="b">
        <f t="shared" si="4"/>
        <v>0</v>
      </c>
      <c r="N19" s="46">
        <f t="shared" si="2"/>
        <v>3</v>
      </c>
      <c r="O19" s="46">
        <f>ส.ค.63!N19</f>
        <v>3</v>
      </c>
      <c r="P19" s="68"/>
      <c r="R19" s="9"/>
      <c r="U19" s="10"/>
      <c r="V19" s="13"/>
      <c r="W19" s="13"/>
      <c r="X19" s="10"/>
    </row>
    <row r="20" spans="1:24" s="8" customFormat="1" ht="35.1" customHeight="1" thickBot="1">
      <c r="A20" s="8">
        <v>12</v>
      </c>
      <c r="B20" s="50">
        <v>16</v>
      </c>
      <c r="C20" s="64" t="s">
        <v>13</v>
      </c>
      <c r="D20" s="47"/>
      <c r="E20" s="47"/>
      <c r="F20" s="47"/>
      <c r="G20" s="47">
        <f t="shared" si="0"/>
        <v>3</v>
      </c>
      <c r="H20" s="53"/>
      <c r="I20" s="53"/>
      <c r="J20" s="47">
        <f t="shared" si="1"/>
        <v>0</v>
      </c>
      <c r="K20" s="51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ส.ค.63!N20</f>
        <v>3</v>
      </c>
      <c r="P20" s="53"/>
      <c r="R20" s="9"/>
      <c r="U20" s="10"/>
      <c r="V20" s="13"/>
      <c r="W20" s="13"/>
      <c r="X20" s="10"/>
    </row>
    <row r="21" spans="1:24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60"/>
      <c r="V21" s="12"/>
      <c r="W21" s="12"/>
      <c r="X21" s="11"/>
    </row>
    <row r="22" spans="1:24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</row>
    <row r="23" spans="1:24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8" t="s">
        <v>5</v>
      </c>
      <c r="M23" s="128"/>
      <c r="N23" s="128"/>
      <c r="O23" s="14"/>
    </row>
    <row r="24" spans="1:24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8"/>
      <c r="M24" s="128"/>
      <c r="N24" s="128"/>
      <c r="O24" s="14"/>
    </row>
    <row r="25" spans="1:24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8" t="s">
        <v>5</v>
      </c>
      <c r="M25" s="128"/>
      <c r="N25" s="128"/>
      <c r="O25" s="14"/>
    </row>
    <row r="26" spans="1:24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8"/>
      <c r="M26" s="128"/>
      <c r="N26" s="128"/>
      <c r="O26" s="14"/>
    </row>
    <row r="27" spans="1:24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9" t="s">
        <v>5</v>
      </c>
      <c r="L27" s="129"/>
      <c r="M27" s="62"/>
      <c r="N27" s="62"/>
      <c r="O27" s="14"/>
    </row>
    <row r="28" spans="1:24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</row>
    <row r="29" spans="1:24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</row>
    <row r="30" spans="1:24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8" t="s">
        <v>5</v>
      </c>
      <c r="M30" s="128"/>
      <c r="N30" s="128"/>
      <c r="O30" s="14"/>
    </row>
    <row r="31" spans="1:24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8"/>
      <c r="M31" s="128"/>
      <c r="N31" s="128"/>
      <c r="O31" s="14"/>
    </row>
    <row r="32" spans="1:24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</row>
    <row r="33" spans="3:16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</row>
    <row r="34" spans="3:16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</row>
    <row r="35" spans="3:16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</row>
    <row r="36" spans="3:16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</row>
    <row r="37" spans="3:16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</row>
    <row r="38" spans="3:16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</row>
    <row r="39" spans="3:16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</row>
    <row r="40" spans="3:16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</row>
    <row r="41" spans="3:16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</row>
    <row r="42" spans="3:16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</row>
    <row r="43" spans="3:16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3:16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0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C5" sqref="C5:C12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hidden="1" customWidth="1"/>
    <col min="16" max="16" width="20.570312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31" t="s">
        <v>93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63" t="s">
        <v>53</v>
      </c>
      <c r="P1" s="63"/>
      <c r="Q1" s="41"/>
    </row>
    <row r="2" spans="1:25" ht="54.75" customHeight="1" thickBot="1">
      <c r="C2" s="132" t="s">
        <v>41</v>
      </c>
      <c r="D2" s="133" t="s">
        <v>40</v>
      </c>
      <c r="E2" s="133"/>
      <c r="F2" s="133"/>
      <c r="G2" s="133"/>
      <c r="H2" s="134" t="s">
        <v>39</v>
      </c>
      <c r="I2" s="134"/>
      <c r="J2" s="134"/>
      <c r="K2" s="135" t="s">
        <v>38</v>
      </c>
      <c r="L2" s="135"/>
      <c r="M2" s="135"/>
      <c r="N2" s="136" t="s">
        <v>94</v>
      </c>
      <c r="O2" s="147" t="s">
        <v>91</v>
      </c>
      <c r="P2" s="144" t="s">
        <v>92</v>
      </c>
      <c r="Q2" s="138" t="s">
        <v>37</v>
      </c>
    </row>
    <row r="3" spans="1:25" ht="38.25" customHeight="1" thickBot="1">
      <c r="C3" s="132"/>
      <c r="D3" s="139" t="s">
        <v>36</v>
      </c>
      <c r="E3" s="139" t="s">
        <v>35</v>
      </c>
      <c r="F3" s="139" t="s">
        <v>34</v>
      </c>
      <c r="G3" s="140" t="s">
        <v>29</v>
      </c>
      <c r="H3" s="141" t="s">
        <v>33</v>
      </c>
      <c r="I3" s="132" t="s">
        <v>32</v>
      </c>
      <c r="J3" s="142" t="s">
        <v>29</v>
      </c>
      <c r="K3" s="143" t="s">
        <v>31</v>
      </c>
      <c r="L3" s="132" t="s">
        <v>30</v>
      </c>
      <c r="M3" s="137" t="s">
        <v>29</v>
      </c>
      <c r="N3" s="136"/>
      <c r="O3" s="147"/>
      <c r="P3" s="145"/>
      <c r="Q3" s="138"/>
    </row>
    <row r="4" spans="1:25" ht="36.75" customHeight="1" thickBot="1">
      <c r="C4" s="132"/>
      <c r="D4" s="139"/>
      <c r="E4" s="139"/>
      <c r="F4" s="139"/>
      <c r="G4" s="140"/>
      <c r="H4" s="141"/>
      <c r="I4" s="132"/>
      <c r="J4" s="142"/>
      <c r="K4" s="143"/>
      <c r="L4" s="132"/>
      <c r="M4" s="137"/>
      <c r="N4" s="136"/>
      <c r="O4" s="147"/>
      <c r="P4" s="146"/>
      <c r="Q4" s="13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103">
        <v>22920</v>
      </c>
      <c r="D5" s="42">
        <v>1.39</v>
      </c>
      <c r="E5" s="47">
        <v>1.27</v>
      </c>
      <c r="F5" s="47">
        <v>0.93</v>
      </c>
      <c r="G5" s="42">
        <v>1</v>
      </c>
      <c r="H5" s="53">
        <v>5220501.92</v>
      </c>
      <c r="I5" s="53">
        <v>9594859.0600000005</v>
      </c>
      <c r="J5" s="47">
        <v>0</v>
      </c>
      <c r="K5" s="51">
        <v>9594859.0600000005</v>
      </c>
      <c r="L5" s="45">
        <v>0.54409365341943849</v>
      </c>
      <c r="M5" s="43">
        <v>0</v>
      </c>
      <c r="N5" s="46">
        <v>1</v>
      </c>
      <c r="O5" s="83">
        <v>6</v>
      </c>
      <c r="P5" s="88">
        <v>9973269.3499999996</v>
      </c>
      <c r="Q5" s="85">
        <v>-998866.95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103">
        <v>22951</v>
      </c>
      <c r="D6" s="42">
        <v>1.38</v>
      </c>
      <c r="E6" s="47">
        <v>1.26</v>
      </c>
      <c r="F6" s="47">
        <v>0.83</v>
      </c>
      <c r="G6" s="42">
        <v>1</v>
      </c>
      <c r="H6" s="53">
        <v>4901737.28</v>
      </c>
      <c r="I6" s="53">
        <v>9312842.6899999995</v>
      </c>
      <c r="J6" s="47">
        <v>0</v>
      </c>
      <c r="K6" s="51">
        <v>4656421.3449999997</v>
      </c>
      <c r="L6" s="45">
        <v>1.0526833627853325</v>
      </c>
      <c r="M6" s="43">
        <v>0</v>
      </c>
      <c r="N6" s="46">
        <v>1</v>
      </c>
      <c r="O6" s="46">
        <v>1</v>
      </c>
      <c r="P6" s="88">
        <v>10069663.27</v>
      </c>
      <c r="Q6" s="68">
        <v>-2180048.4900000002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103">
        <v>22981</v>
      </c>
      <c r="D7" s="75">
        <v>1.29</v>
      </c>
      <c r="E7" s="69">
        <v>1.1499999999999999</v>
      </c>
      <c r="F7" s="75">
        <v>0.72</v>
      </c>
      <c r="G7" s="75">
        <v>2</v>
      </c>
      <c r="H7" s="61">
        <v>3881770.93</v>
      </c>
      <c r="I7" s="61">
        <v>8242174.2300000004</v>
      </c>
      <c r="J7" s="69">
        <v>0</v>
      </c>
      <c r="K7" s="70">
        <v>2747391.41</v>
      </c>
      <c r="L7" s="71">
        <v>1.4128933052171113</v>
      </c>
      <c r="M7" s="72">
        <v>0</v>
      </c>
      <c r="N7" s="73">
        <v>2</v>
      </c>
      <c r="O7" s="73">
        <v>1</v>
      </c>
      <c r="P7" s="82">
        <v>9351380.4600000009</v>
      </c>
      <c r="Q7" s="81">
        <v>-3787434.76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103">
        <v>23012</v>
      </c>
      <c r="D8" s="93">
        <v>1.28</v>
      </c>
      <c r="E8" s="47">
        <v>1.1399999999999999</v>
      </c>
      <c r="F8" s="93">
        <v>0.63</v>
      </c>
      <c r="G8" s="42">
        <v>2</v>
      </c>
      <c r="H8" s="53">
        <v>3439211.65</v>
      </c>
      <c r="I8" s="53">
        <v>7895954.6900000004</v>
      </c>
      <c r="J8" s="47">
        <v>0</v>
      </c>
      <c r="K8" s="51">
        <v>1973988.6725000001</v>
      </c>
      <c r="L8" s="45">
        <v>1.7422651395685755</v>
      </c>
      <c r="M8" s="43">
        <v>0</v>
      </c>
      <c r="N8" s="46">
        <v>2</v>
      </c>
      <c r="O8" s="46">
        <v>2</v>
      </c>
      <c r="P8" s="53">
        <v>9353547.6400000006</v>
      </c>
      <c r="Q8" s="94">
        <v>-4657059.47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103">
        <v>23043</v>
      </c>
      <c r="D9" s="42">
        <v>1.37</v>
      </c>
      <c r="E9" s="47">
        <v>1.22</v>
      </c>
      <c r="F9" s="42">
        <v>0.68</v>
      </c>
      <c r="G9" s="42">
        <v>2</v>
      </c>
      <c r="H9" s="53">
        <v>4665596.29</v>
      </c>
      <c r="I9" s="53">
        <v>9075662.3399999999</v>
      </c>
      <c r="J9" s="47">
        <v>0</v>
      </c>
      <c r="K9" s="51">
        <v>1815132.4679999999</v>
      </c>
      <c r="L9" s="45">
        <v>2.5703888681693727</v>
      </c>
      <c r="M9" s="43">
        <v>0</v>
      </c>
      <c r="N9" s="46">
        <v>2</v>
      </c>
      <c r="O9" s="46">
        <v>2</v>
      </c>
      <c r="P9" s="53">
        <v>10911665.58</v>
      </c>
      <c r="Q9" s="68">
        <v>-4035844.79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104">
        <v>23071</v>
      </c>
      <c r="D10" s="42">
        <v>1.37</v>
      </c>
      <c r="E10" s="47">
        <v>1.25</v>
      </c>
      <c r="F10" s="42">
        <v>0.78</v>
      </c>
      <c r="G10" s="42">
        <v>2</v>
      </c>
      <c r="H10" s="53">
        <v>5154062.82</v>
      </c>
      <c r="I10" s="53">
        <v>9564163.7799999993</v>
      </c>
      <c r="J10" s="47">
        <v>0</v>
      </c>
      <c r="K10" s="51">
        <v>1594027.2966666666</v>
      </c>
      <c r="L10" s="45">
        <v>3.2333591970337423</v>
      </c>
      <c r="M10" s="43">
        <v>0</v>
      </c>
      <c r="N10" s="46">
        <v>2</v>
      </c>
      <c r="O10" s="46">
        <v>2</v>
      </c>
      <c r="P10" s="100">
        <v>10999344.16</v>
      </c>
      <c r="Q10" s="68">
        <v>-3065093.54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104">
        <v>23102</v>
      </c>
      <c r="D11" s="42">
        <v>1.45</v>
      </c>
      <c r="E11" s="47">
        <v>1.32</v>
      </c>
      <c r="F11" s="57">
        <v>0.9</v>
      </c>
      <c r="G11" s="42">
        <v>1</v>
      </c>
      <c r="H11" s="53">
        <v>6850204.2800000003</v>
      </c>
      <c r="I11" s="53">
        <v>11961953.67</v>
      </c>
      <c r="J11" s="47">
        <v>0</v>
      </c>
      <c r="K11" s="51">
        <v>1708850.5242857144</v>
      </c>
      <c r="L11" s="45">
        <v>4.0086620699978015</v>
      </c>
      <c r="M11" s="43">
        <v>0</v>
      </c>
      <c r="N11" s="46">
        <v>1</v>
      </c>
      <c r="O11" s="46">
        <v>2</v>
      </c>
      <c r="P11" s="100">
        <v>13775544.34</v>
      </c>
      <c r="Q11" s="68">
        <v>-1478858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104">
        <v>23132</v>
      </c>
      <c r="D12" s="57">
        <v>1.1100000000000001</v>
      </c>
      <c r="E12" s="57">
        <v>0.97</v>
      </c>
      <c r="F12" s="57">
        <v>0.53</v>
      </c>
      <c r="G12" s="42">
        <v>3</v>
      </c>
      <c r="H12" s="53">
        <v>1771122.51</v>
      </c>
      <c r="I12" s="53">
        <v>11139842.529999999</v>
      </c>
      <c r="J12" s="47">
        <v>0</v>
      </c>
      <c r="K12" s="51">
        <v>1392480.3162499999</v>
      </c>
      <c r="L12" s="45">
        <v>1.2719192431887993</v>
      </c>
      <c r="M12" s="43">
        <v>0</v>
      </c>
      <c r="N12" s="46">
        <v>3</v>
      </c>
      <c r="O12" s="46">
        <v>1</v>
      </c>
      <c r="P12" s="100">
        <v>13331843.49</v>
      </c>
      <c r="Q12" s="68">
        <v>-7412045.1500000004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105"/>
      <c r="D13" s="47"/>
      <c r="E13" s="47"/>
      <c r="F13" s="47"/>
      <c r="G13" s="47">
        <f t="shared" ref="G13:G16" si="0">(IF(D13&lt;1.5,1,0))+(IF(E13&lt;1,1,0))+(IF(F13&lt;0.8,1,0))</f>
        <v>3</v>
      </c>
      <c r="H13" s="53"/>
      <c r="I13" s="53"/>
      <c r="J13" s="47">
        <f t="shared" ref="J13:J16" si="1">IF(I13&lt;0,1,0)+IF(H13&lt;0,1,0)</f>
        <v>0</v>
      </c>
      <c r="K13" s="51">
        <f t="shared" ref="K13:K16" si="2">SUM(I13/12)</f>
        <v>0</v>
      </c>
      <c r="L13" s="45" t="e">
        <f t="shared" ref="L13:L16" si="3">+H13/K13</f>
        <v>#DIV/0!</v>
      </c>
      <c r="M13" s="43" t="b">
        <f t="shared" ref="M13:M16" si="4">IF(AND(I13&lt;0,H13&lt;0),2,IF(AND(I13&gt;0,H13&gt;0),0,IF(AND(H13&lt;0,I13&gt;0),IF(ABS((H13/(I13/12)))&lt;3,0,IF(ABS((H13/(I13/12)))&gt;6,2,1)),IF(AND(H13&gt;0,I13&lt;0),IF(ABS((H13/(I13/12)))&lt;3,2,IF(ABS((H13/(I13/12)))&gt;6,0,1))))))</f>
        <v>0</v>
      </c>
      <c r="N13" s="46">
        <f t="shared" ref="N13:N16" si="5">SUM(G13+J13+M13)</f>
        <v>3</v>
      </c>
      <c r="O13" s="46">
        <f>ส.ค.63!N13</f>
        <v>3</v>
      </c>
      <c r="P13" s="46"/>
      <c r="Q13" s="53"/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105"/>
      <c r="D14" s="47"/>
      <c r="E14" s="47"/>
      <c r="F14" s="47"/>
      <c r="G14" s="47">
        <f t="shared" si="0"/>
        <v>3</v>
      </c>
      <c r="H14" s="53"/>
      <c r="I14" s="53"/>
      <c r="J14" s="47">
        <f t="shared" si="1"/>
        <v>0</v>
      </c>
      <c r="K14" s="51">
        <f t="shared" si="2"/>
        <v>0</v>
      </c>
      <c r="L14" s="45" t="e">
        <f t="shared" si="3"/>
        <v>#DIV/0!</v>
      </c>
      <c r="M14" s="43" t="b">
        <f t="shared" si="4"/>
        <v>0</v>
      </c>
      <c r="N14" s="46">
        <f t="shared" si="5"/>
        <v>3</v>
      </c>
      <c r="O14" s="46">
        <f>ส.ค.63!N14</f>
        <v>3</v>
      </c>
      <c r="P14" s="46"/>
      <c r="Q14" s="53"/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105"/>
      <c r="D15" s="47"/>
      <c r="E15" s="47"/>
      <c r="F15" s="47"/>
      <c r="G15" s="47">
        <f t="shared" si="0"/>
        <v>3</v>
      </c>
      <c r="H15" s="53"/>
      <c r="I15" s="53"/>
      <c r="J15" s="47">
        <f t="shared" si="1"/>
        <v>0</v>
      </c>
      <c r="K15" s="51">
        <f t="shared" si="2"/>
        <v>0</v>
      </c>
      <c r="L15" s="45" t="e">
        <f t="shared" si="3"/>
        <v>#DIV/0!</v>
      </c>
      <c r="M15" s="43" t="b">
        <f t="shared" si="4"/>
        <v>0</v>
      </c>
      <c r="N15" s="46">
        <f t="shared" si="5"/>
        <v>3</v>
      </c>
      <c r="O15" s="46">
        <f>ส.ค.63!N15</f>
        <v>3</v>
      </c>
      <c r="P15" s="46"/>
      <c r="Q15" s="53"/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105"/>
      <c r="D16" s="47"/>
      <c r="E16" s="47"/>
      <c r="F16" s="47"/>
      <c r="G16" s="47">
        <f t="shared" si="0"/>
        <v>3</v>
      </c>
      <c r="H16" s="53"/>
      <c r="I16" s="67"/>
      <c r="J16" s="47">
        <f t="shared" si="1"/>
        <v>0</v>
      </c>
      <c r="K16" s="51">
        <f t="shared" si="2"/>
        <v>0</v>
      </c>
      <c r="L16" s="45" t="e">
        <f t="shared" si="3"/>
        <v>#DIV/0!</v>
      </c>
      <c r="M16" s="43" t="b">
        <f t="shared" si="4"/>
        <v>0</v>
      </c>
      <c r="N16" s="46">
        <f t="shared" si="5"/>
        <v>3</v>
      </c>
      <c r="O16" s="46">
        <f>ส.ค.63!N16</f>
        <v>3</v>
      </c>
      <c r="P16" s="46"/>
      <c r="Q16" s="53"/>
      <c r="S16" s="9"/>
      <c r="V16" s="10"/>
      <c r="W16" s="13"/>
      <c r="X16" s="13"/>
      <c r="Y16" s="10"/>
    </row>
    <row r="17" spans="3:25" ht="20.25" customHeight="1" thickBot="1">
      <c r="C17" s="14"/>
      <c r="D17" s="14"/>
      <c r="E17" s="14"/>
      <c r="F17" s="14"/>
      <c r="G17" s="14"/>
      <c r="H17" s="39"/>
      <c r="I17" s="39"/>
      <c r="J17" s="14"/>
      <c r="K17" s="14"/>
      <c r="L17" s="15"/>
      <c r="M17" s="40" t="b">
        <f>IF(AND(I17&lt;0,L17&lt;0),2,IF(AND(I17&gt;0,H17&gt;0),0,IF(AND(H17&lt;0,I17&gt;0),IF(ABS((H17/(I17/12)))&lt;3,0,IF(ABS((H17/(I17/12)))&gt;6,2,1)),IF(AND(H17&gt;0,I17&lt;0),IF(ABS((H17/(I17/12)))&lt;3,2,IF(ABS((H17/(I17/12)))&gt;6,0,1))))))</f>
        <v>0</v>
      </c>
      <c r="N17" s="15"/>
      <c r="O17" s="14"/>
      <c r="P17" s="14"/>
      <c r="Q17" s="60"/>
      <c r="W17" s="12"/>
      <c r="X17" s="12"/>
      <c r="Y17" s="11"/>
    </row>
    <row r="18" spans="3:25" ht="22.5" customHeight="1">
      <c r="C18" s="16"/>
      <c r="D18" s="17"/>
      <c r="E18" s="17"/>
      <c r="F18" s="17"/>
      <c r="G18" s="17"/>
      <c r="H18" s="18"/>
      <c r="I18" s="18"/>
      <c r="J18" s="18"/>
      <c r="K18" s="19" t="s">
        <v>12</v>
      </c>
      <c r="L18" s="20"/>
      <c r="M18" s="20"/>
      <c r="N18" s="20"/>
      <c r="O18" s="14"/>
      <c r="P18" s="14"/>
    </row>
    <row r="19" spans="3:25" ht="23.25">
      <c r="C19" s="21" t="s">
        <v>11</v>
      </c>
      <c r="D19" s="18"/>
      <c r="E19" s="18"/>
      <c r="F19" s="18"/>
      <c r="G19" s="18"/>
      <c r="H19" s="18"/>
      <c r="I19" s="18"/>
      <c r="J19" s="18"/>
      <c r="K19" s="22" t="s">
        <v>10</v>
      </c>
      <c r="L19" s="128" t="s">
        <v>5</v>
      </c>
      <c r="M19" s="128"/>
      <c r="N19" s="128"/>
      <c r="O19" s="14"/>
      <c r="P19" s="14"/>
    </row>
    <row r="20" spans="3:25" ht="23.25">
      <c r="C20" s="21"/>
      <c r="D20" s="18"/>
      <c r="E20" s="18"/>
      <c r="F20" s="18"/>
      <c r="G20" s="18"/>
      <c r="H20" s="18"/>
      <c r="I20" s="18"/>
      <c r="J20" s="18"/>
      <c r="K20" s="23" t="s">
        <v>4</v>
      </c>
      <c r="L20" s="128"/>
      <c r="M20" s="128"/>
      <c r="N20" s="128"/>
      <c r="O20" s="14"/>
      <c r="P20" s="14"/>
    </row>
    <row r="21" spans="3:25" ht="26.25" customHeight="1">
      <c r="C21" s="24" t="s">
        <v>9</v>
      </c>
      <c r="D21" s="18"/>
      <c r="E21" s="18"/>
      <c r="F21" s="18"/>
      <c r="G21" s="18"/>
      <c r="H21" s="18"/>
      <c r="I21" s="18"/>
      <c r="J21" s="18"/>
      <c r="K21" s="25" t="s">
        <v>45</v>
      </c>
      <c r="L21" s="128" t="s">
        <v>5</v>
      </c>
      <c r="M21" s="128"/>
      <c r="N21" s="128"/>
      <c r="O21" s="14"/>
      <c r="P21" s="14"/>
    </row>
    <row r="22" spans="3:25" ht="23.25">
      <c r="C22" s="21"/>
      <c r="D22" s="18"/>
      <c r="E22" s="18"/>
      <c r="F22" s="18"/>
      <c r="G22" s="18"/>
      <c r="H22" s="18"/>
      <c r="I22" s="18"/>
      <c r="J22" s="18"/>
      <c r="K22" s="23" t="s">
        <v>4</v>
      </c>
      <c r="L22" s="128"/>
      <c r="M22" s="128"/>
      <c r="N22" s="128"/>
      <c r="O22" s="14"/>
      <c r="P22" s="14"/>
    </row>
    <row r="23" spans="3:25" ht="23.25">
      <c r="C23" s="21" t="s">
        <v>8</v>
      </c>
      <c r="D23" s="18"/>
      <c r="E23" s="18"/>
      <c r="F23" s="18"/>
      <c r="G23" s="18"/>
      <c r="H23" s="18"/>
      <c r="I23" s="23" t="s">
        <v>7</v>
      </c>
      <c r="J23" s="26"/>
      <c r="K23" s="129" t="s">
        <v>5</v>
      </c>
      <c r="L23" s="129"/>
      <c r="M23" s="101"/>
      <c r="N23" s="101"/>
      <c r="O23" s="14"/>
      <c r="P23" s="14"/>
    </row>
    <row r="24" spans="3:25" ht="23.25">
      <c r="C24" s="27" t="s">
        <v>6</v>
      </c>
      <c r="D24" s="18"/>
      <c r="E24" s="18"/>
      <c r="F24" s="18"/>
      <c r="G24" s="18"/>
      <c r="H24" s="18"/>
      <c r="I24" s="37" t="s">
        <v>46</v>
      </c>
      <c r="J24" s="28"/>
      <c r="K24" s="29"/>
      <c r="L24" s="30"/>
      <c r="M24" s="30"/>
      <c r="N24" s="30"/>
      <c r="O24" s="14"/>
      <c r="P24" s="14"/>
    </row>
    <row r="25" spans="3:25" ht="11.25" customHeight="1">
      <c r="C25" s="14"/>
      <c r="D25" s="14"/>
      <c r="E25" s="14"/>
      <c r="F25" s="14"/>
      <c r="G25" s="14"/>
      <c r="H25" s="14"/>
      <c r="I25" s="18"/>
      <c r="J25" s="18"/>
      <c r="K25" s="31"/>
      <c r="L25" s="32"/>
      <c r="M25" s="32"/>
      <c r="N25" s="32"/>
      <c r="O25" s="14"/>
      <c r="P25" s="14"/>
    </row>
    <row r="26" spans="3:25" ht="23.25" customHeight="1">
      <c r="C26" s="31"/>
      <c r="D26" s="18"/>
      <c r="E26" s="18"/>
      <c r="F26" s="18"/>
      <c r="G26" s="18"/>
      <c r="H26" s="18"/>
      <c r="I26" s="18"/>
      <c r="J26" s="18"/>
      <c r="K26" s="22" t="s">
        <v>47</v>
      </c>
      <c r="L26" s="128" t="s">
        <v>5</v>
      </c>
      <c r="M26" s="128"/>
      <c r="N26" s="128"/>
      <c r="O26" s="14"/>
      <c r="P26" s="14"/>
    </row>
    <row r="27" spans="3:25" ht="21.75" customHeight="1">
      <c r="C27" s="31"/>
      <c r="D27" s="18"/>
      <c r="E27" s="18"/>
      <c r="F27" s="18"/>
      <c r="G27" s="18"/>
      <c r="H27" s="18"/>
      <c r="I27" s="18"/>
      <c r="J27" s="18"/>
      <c r="K27" s="23" t="s">
        <v>4</v>
      </c>
      <c r="L27" s="128"/>
      <c r="M27" s="128"/>
      <c r="N27" s="128"/>
      <c r="O27" s="14"/>
      <c r="P27" s="14"/>
    </row>
    <row r="28" spans="3:25" ht="23.25">
      <c r="C28" s="33" t="s">
        <v>48</v>
      </c>
      <c r="D28" s="18"/>
      <c r="E28" s="18"/>
      <c r="F28" s="18"/>
      <c r="G28" s="18"/>
      <c r="H28" s="18"/>
      <c r="I28" s="34"/>
      <c r="J28" s="34"/>
      <c r="K28" s="31"/>
      <c r="L28" s="32"/>
      <c r="M28" s="32"/>
      <c r="N28" s="32"/>
      <c r="O28" s="14"/>
      <c r="P28" s="14"/>
      <c r="Q28" s="14"/>
    </row>
    <row r="29" spans="3:25" ht="23.25">
      <c r="C29" s="21" t="s">
        <v>3</v>
      </c>
      <c r="D29" s="18"/>
      <c r="E29" s="18"/>
      <c r="F29" s="18"/>
      <c r="G29" s="18"/>
      <c r="H29" s="18"/>
      <c r="I29" s="18"/>
      <c r="J29" s="18"/>
      <c r="K29" s="31"/>
      <c r="L29" s="32"/>
      <c r="M29" s="32"/>
      <c r="N29" s="32"/>
      <c r="O29" s="14"/>
      <c r="P29" s="14"/>
      <c r="Q29" s="14"/>
    </row>
    <row r="30" spans="3:25" ht="23.25">
      <c r="C30" s="33" t="s">
        <v>49</v>
      </c>
      <c r="D30" s="18"/>
      <c r="E30" s="18"/>
      <c r="F30" s="18"/>
      <c r="G30" s="18"/>
      <c r="H30" s="18"/>
      <c r="I30" s="18"/>
      <c r="J30" s="18"/>
      <c r="K30" s="31"/>
      <c r="L30" s="32"/>
      <c r="M30" s="32"/>
      <c r="N30" s="32"/>
      <c r="O30" s="14"/>
      <c r="P30" s="14"/>
      <c r="Q30" s="14"/>
    </row>
    <row r="31" spans="3:25" ht="23.25">
      <c r="C31" s="33" t="s">
        <v>50</v>
      </c>
      <c r="D31" s="18"/>
      <c r="E31" s="18"/>
      <c r="F31" s="18"/>
      <c r="G31" s="18"/>
      <c r="H31" s="18"/>
      <c r="I31" s="18"/>
      <c r="J31" s="18"/>
      <c r="K31" s="31"/>
      <c r="L31" s="32"/>
      <c r="M31" s="32"/>
      <c r="N31" s="32"/>
      <c r="O31" s="14"/>
      <c r="P31" s="14"/>
      <c r="Q31" s="14"/>
    </row>
    <row r="32" spans="3:25" ht="23.25">
      <c r="C32" s="33" t="s">
        <v>51</v>
      </c>
      <c r="D32" s="18"/>
      <c r="E32" s="21"/>
      <c r="F32" s="35"/>
      <c r="G32" s="35"/>
      <c r="H32" s="35"/>
      <c r="I32" s="35"/>
      <c r="J32" s="35"/>
      <c r="K32" s="36"/>
      <c r="L32" s="32"/>
      <c r="M32" s="32"/>
      <c r="N32" s="32"/>
      <c r="O32" s="14"/>
      <c r="P32" s="14"/>
      <c r="Q32" s="14"/>
    </row>
    <row r="33" spans="3:17" ht="23.25">
      <c r="C33" s="31"/>
      <c r="D33" s="18"/>
      <c r="E33" s="21" t="s">
        <v>2</v>
      </c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1"/>
      <c r="D34" s="18"/>
      <c r="E34" s="21" t="s">
        <v>54</v>
      </c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14" t="s">
        <v>55</v>
      </c>
      <c r="D35" s="18"/>
      <c r="E35" s="21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1"/>
      <c r="D36" s="18"/>
      <c r="E36" s="21" t="s">
        <v>1</v>
      </c>
      <c r="F36" s="18"/>
      <c r="G36" s="18"/>
      <c r="H36" s="18"/>
      <c r="I36" s="18"/>
      <c r="J36" s="18"/>
      <c r="K36" s="31"/>
      <c r="L36" s="32"/>
      <c r="M36" s="32"/>
      <c r="N36" s="32"/>
      <c r="O36" s="14"/>
      <c r="P36" s="14"/>
      <c r="Q36" s="14"/>
    </row>
    <row r="37" spans="3:17" ht="23.25">
      <c r="C37" s="14" t="s">
        <v>0</v>
      </c>
      <c r="D37" s="18"/>
      <c r="E37" s="18"/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3" t="s">
        <v>52</v>
      </c>
      <c r="D38" s="18"/>
      <c r="E38" s="18"/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3:17">
      <c r="C40" s="7"/>
      <c r="D40" s="6"/>
      <c r="E40" s="6"/>
      <c r="F40" s="5"/>
      <c r="G40" s="5"/>
      <c r="H40" s="4"/>
      <c r="I40" s="3"/>
      <c r="J40" s="3"/>
      <c r="K40" s="3"/>
      <c r="L40" s="2"/>
      <c r="M40" s="2"/>
      <c r="N40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L19:N20"/>
    <mergeCell ref="L21:N22"/>
    <mergeCell ref="K23:L23"/>
    <mergeCell ref="L26:N27"/>
    <mergeCell ref="P2:P4"/>
    <mergeCell ref="O2:O4"/>
  </mergeCells>
  <conditionalFormatting sqref="N5">
    <cfRule type="colorScale" priority="80">
      <colorScale>
        <cfvo type="min"/>
        <cfvo type="max"/>
        <color rgb="FFFCFCFF"/>
        <color rgb="FFF8696B"/>
      </colorScale>
    </cfRule>
    <cfRule type="colorScale" priority="82">
      <colorScale>
        <cfvo type="min"/>
        <cfvo type="max"/>
        <color rgb="FFFFFF00"/>
        <color rgb="FFFF0000"/>
      </colorScale>
    </cfRule>
    <cfRule type="colorScale" priority="84">
      <colorScale>
        <cfvo type="min"/>
        <cfvo type="max"/>
        <color rgb="FFFCFCFF"/>
        <color rgb="FFF8696B"/>
      </colorScale>
    </cfRule>
  </conditionalFormatting>
  <conditionalFormatting sqref="N5">
    <cfRule type="colorScale" priority="83">
      <colorScale>
        <cfvo type="min"/>
        <cfvo type="max"/>
        <color rgb="FFFCFCFF"/>
        <color rgb="FFF8696B"/>
      </colorScale>
    </cfRule>
  </conditionalFormatting>
  <conditionalFormatting sqref="N5">
    <cfRule type="colorScale" priority="81">
      <colorScale>
        <cfvo type="min"/>
        <cfvo type="max"/>
        <color rgb="FFFF7128"/>
        <color theme="6" tint="0.79998168889431442"/>
      </colorScale>
    </cfRule>
  </conditionalFormatting>
  <conditionalFormatting sqref="O5">
    <cfRule type="colorScale" priority="75">
      <colorScale>
        <cfvo type="min"/>
        <cfvo type="max"/>
        <color rgb="FFFCFCFF"/>
        <color rgb="FFF8696B"/>
      </colorScale>
    </cfRule>
    <cfRule type="colorScale" priority="77">
      <colorScale>
        <cfvo type="min"/>
        <cfvo type="max"/>
        <color rgb="FFFFFF00"/>
        <color rgb="FFFF0000"/>
      </colorScale>
    </cfRule>
    <cfRule type="colorScale" priority="79">
      <colorScale>
        <cfvo type="min"/>
        <cfvo type="max"/>
        <color rgb="FFFCFCFF"/>
        <color rgb="FFF8696B"/>
      </colorScale>
    </cfRule>
  </conditionalFormatting>
  <conditionalFormatting sqref="O5">
    <cfRule type="colorScale" priority="78">
      <colorScale>
        <cfvo type="min"/>
        <cfvo type="max"/>
        <color rgb="FFFCFCFF"/>
        <color rgb="FFF8696B"/>
      </colorScale>
    </cfRule>
  </conditionalFormatting>
  <conditionalFormatting sqref="O5">
    <cfRule type="colorScale" priority="76">
      <colorScale>
        <cfvo type="min"/>
        <cfvo type="max"/>
        <color rgb="FFFF7128"/>
        <color theme="6" tint="0.79998168889431442"/>
      </colorScale>
    </cfRule>
  </conditionalFormatting>
  <conditionalFormatting sqref="N13:N16">
    <cfRule type="colorScale" priority="95">
      <colorScale>
        <cfvo type="min"/>
        <cfvo type="max"/>
        <color rgb="FFFCFCFF"/>
        <color rgb="FFF8696B"/>
      </colorScale>
    </cfRule>
    <cfRule type="colorScale" priority="96">
      <colorScale>
        <cfvo type="min"/>
        <cfvo type="max"/>
        <color rgb="FFFFFF00"/>
        <color rgb="FFFF0000"/>
      </colorScale>
    </cfRule>
    <cfRule type="colorScale" priority="97">
      <colorScale>
        <cfvo type="min"/>
        <cfvo type="max"/>
        <color rgb="FFFCFCFF"/>
        <color rgb="FFF8696B"/>
      </colorScale>
    </cfRule>
  </conditionalFormatting>
  <conditionalFormatting sqref="N13:N16">
    <cfRule type="colorScale" priority="98">
      <colorScale>
        <cfvo type="min"/>
        <cfvo type="max"/>
        <color rgb="FFFCFCFF"/>
        <color rgb="FFF8696B"/>
      </colorScale>
    </cfRule>
  </conditionalFormatting>
  <conditionalFormatting sqref="N13:N16">
    <cfRule type="colorScale" priority="99">
      <colorScale>
        <cfvo type="min"/>
        <cfvo type="max"/>
        <color rgb="FFFF7128"/>
        <color theme="6" tint="0.79998168889431442"/>
      </colorScale>
    </cfRule>
  </conditionalFormatting>
  <conditionalFormatting sqref="O13:P16">
    <cfRule type="colorScale" priority="100">
      <colorScale>
        <cfvo type="min"/>
        <cfvo type="max"/>
        <color rgb="FFFCFCFF"/>
        <color rgb="FFF8696B"/>
      </colorScale>
    </cfRule>
    <cfRule type="colorScale" priority="101">
      <colorScale>
        <cfvo type="min"/>
        <cfvo type="max"/>
        <color rgb="FFFFFF00"/>
        <color rgb="FFFF0000"/>
      </colorScale>
    </cfRule>
    <cfRule type="colorScale" priority="102">
      <colorScale>
        <cfvo type="min"/>
        <cfvo type="max"/>
        <color rgb="FFFCFCFF"/>
        <color rgb="FFF8696B"/>
      </colorScale>
    </cfRule>
  </conditionalFormatting>
  <conditionalFormatting sqref="O13:P16">
    <cfRule type="colorScale" priority="103">
      <colorScale>
        <cfvo type="min"/>
        <cfvo type="max"/>
        <color rgb="FFFCFCFF"/>
        <color rgb="FFF8696B"/>
      </colorScale>
    </cfRule>
  </conditionalFormatting>
  <conditionalFormatting sqref="O13:P16">
    <cfRule type="colorScale" priority="104">
      <colorScale>
        <cfvo type="min"/>
        <cfvo type="max"/>
        <color rgb="FFFF7128"/>
        <color theme="6" tint="0.79998168889431442"/>
      </colorScale>
    </cfRule>
  </conditionalFormatting>
  <conditionalFormatting sqref="N6">
    <cfRule type="colorScale" priority="70">
      <colorScale>
        <cfvo type="min"/>
        <cfvo type="max"/>
        <color rgb="FFFCFCFF"/>
        <color rgb="FFF8696B"/>
      </colorScale>
    </cfRule>
    <cfRule type="colorScale" priority="72">
      <colorScale>
        <cfvo type="min"/>
        <cfvo type="max"/>
        <color rgb="FFFFFF00"/>
        <color rgb="FFFF0000"/>
      </colorScale>
    </cfRule>
    <cfRule type="colorScale" priority="74">
      <colorScale>
        <cfvo type="min"/>
        <cfvo type="max"/>
        <color rgb="FFFCFCFF"/>
        <color rgb="FFF8696B"/>
      </colorScale>
    </cfRule>
  </conditionalFormatting>
  <conditionalFormatting sqref="N6">
    <cfRule type="colorScale" priority="73">
      <colorScale>
        <cfvo type="min"/>
        <cfvo type="max"/>
        <color rgb="FFFCFCFF"/>
        <color rgb="FFF8696B"/>
      </colorScale>
    </cfRule>
  </conditionalFormatting>
  <conditionalFormatting sqref="N6">
    <cfRule type="colorScale" priority="71">
      <colorScale>
        <cfvo type="min"/>
        <cfvo type="max"/>
        <color rgb="FFFF7128"/>
        <color theme="6" tint="0.79998168889431442"/>
      </colorScale>
    </cfRule>
  </conditionalFormatting>
  <conditionalFormatting sqref="O6">
    <cfRule type="colorScale" priority="65">
      <colorScale>
        <cfvo type="min"/>
        <cfvo type="max"/>
        <color rgb="FFFCFCFF"/>
        <color rgb="FFF8696B"/>
      </colorScale>
    </cfRule>
    <cfRule type="colorScale" priority="67">
      <colorScale>
        <cfvo type="min"/>
        <cfvo type="max"/>
        <color rgb="FFFFFF00"/>
        <color rgb="FFFF0000"/>
      </colorScale>
    </cfRule>
    <cfRule type="colorScale" priority="69">
      <colorScale>
        <cfvo type="min"/>
        <cfvo type="max"/>
        <color rgb="FFFCFCFF"/>
        <color rgb="FFF8696B"/>
      </colorScale>
    </cfRule>
  </conditionalFormatting>
  <conditionalFormatting sqref="O6">
    <cfRule type="colorScale" priority="68">
      <colorScale>
        <cfvo type="min"/>
        <cfvo type="max"/>
        <color rgb="FFFCFCFF"/>
        <color rgb="FFF8696B"/>
      </colorScale>
    </cfRule>
  </conditionalFormatting>
  <conditionalFormatting sqref="O6">
    <cfRule type="colorScale" priority="66">
      <colorScale>
        <cfvo type="min"/>
        <cfvo type="max"/>
        <color rgb="FFFF7128"/>
        <color theme="6" tint="0.79998168889431442"/>
      </colorScale>
    </cfRule>
  </conditionalFormatting>
  <conditionalFormatting sqref="N7">
    <cfRule type="colorScale" priority="60">
      <colorScale>
        <cfvo type="min"/>
        <cfvo type="max"/>
        <color rgb="FFFCFCFF"/>
        <color rgb="FFF8696B"/>
      </colorScale>
    </cfRule>
    <cfRule type="colorScale" priority="62">
      <colorScale>
        <cfvo type="min"/>
        <cfvo type="max"/>
        <color rgb="FFFFFF00"/>
        <color rgb="FFFF0000"/>
      </colorScale>
    </cfRule>
    <cfRule type="colorScale" priority="64">
      <colorScale>
        <cfvo type="min"/>
        <cfvo type="max"/>
        <color rgb="FFFCFCFF"/>
        <color rgb="FFF8696B"/>
      </colorScale>
    </cfRule>
  </conditionalFormatting>
  <conditionalFormatting sqref="N7">
    <cfRule type="colorScale" priority="63">
      <colorScale>
        <cfvo type="min"/>
        <cfvo type="max"/>
        <color rgb="FFFCFCFF"/>
        <color rgb="FFF8696B"/>
      </colorScale>
    </cfRule>
  </conditionalFormatting>
  <conditionalFormatting sqref="N7">
    <cfRule type="colorScale" priority="61">
      <colorScale>
        <cfvo type="min"/>
        <cfvo type="max"/>
        <color rgb="FFFF7128"/>
        <color theme="6" tint="0.79998168889431442"/>
      </colorScale>
    </cfRule>
  </conditionalFormatting>
  <conditionalFormatting sqref="O7">
    <cfRule type="colorScale" priority="55">
      <colorScale>
        <cfvo type="min"/>
        <cfvo type="max"/>
        <color rgb="FFFCFCFF"/>
        <color rgb="FFF8696B"/>
      </colorScale>
    </cfRule>
    <cfRule type="colorScale" priority="57">
      <colorScale>
        <cfvo type="min"/>
        <cfvo type="max"/>
        <color rgb="FFFFFF00"/>
        <color rgb="FFFF0000"/>
      </colorScale>
    </cfRule>
    <cfRule type="colorScale" priority="59">
      <colorScale>
        <cfvo type="min"/>
        <cfvo type="max"/>
        <color rgb="FFFCFCFF"/>
        <color rgb="FFF8696B"/>
      </colorScale>
    </cfRule>
  </conditionalFormatting>
  <conditionalFormatting sqref="O7">
    <cfRule type="colorScale" priority="58">
      <colorScale>
        <cfvo type="min"/>
        <cfvo type="max"/>
        <color rgb="FFFCFCFF"/>
        <color rgb="FFF8696B"/>
      </colorScale>
    </cfRule>
  </conditionalFormatting>
  <conditionalFormatting sqref="O7">
    <cfRule type="colorScale" priority="56">
      <colorScale>
        <cfvo type="min"/>
        <cfvo type="max"/>
        <color rgb="FFFF7128"/>
        <color theme="6" tint="0.79998168889431442"/>
      </colorScale>
    </cfRule>
  </conditionalFormatting>
  <conditionalFormatting sqref="N8">
    <cfRule type="colorScale" priority="50">
      <colorScale>
        <cfvo type="min"/>
        <cfvo type="max"/>
        <color rgb="FFFCFCFF"/>
        <color rgb="FFF8696B"/>
      </colorScale>
    </cfRule>
    <cfRule type="colorScale" priority="52">
      <colorScale>
        <cfvo type="min"/>
        <cfvo type="max"/>
        <color rgb="FFFFFF00"/>
        <color rgb="FFFF0000"/>
      </colorScale>
    </cfRule>
    <cfRule type="colorScale" priority="54">
      <colorScale>
        <cfvo type="min"/>
        <cfvo type="max"/>
        <color rgb="FFFCFCFF"/>
        <color rgb="FFF8696B"/>
      </colorScale>
    </cfRule>
  </conditionalFormatting>
  <conditionalFormatting sqref="N8">
    <cfRule type="colorScale" priority="53">
      <colorScale>
        <cfvo type="min"/>
        <cfvo type="max"/>
        <color rgb="FFFCFCFF"/>
        <color rgb="FFF8696B"/>
      </colorScale>
    </cfRule>
  </conditionalFormatting>
  <conditionalFormatting sqref="N8">
    <cfRule type="colorScale" priority="51">
      <colorScale>
        <cfvo type="min"/>
        <cfvo type="max"/>
        <color rgb="FFFF7128"/>
        <color theme="6" tint="0.79998168889431442"/>
      </colorScale>
    </cfRule>
  </conditionalFormatting>
  <conditionalFormatting sqref="O8">
    <cfRule type="colorScale" priority="45">
      <colorScale>
        <cfvo type="min"/>
        <cfvo type="max"/>
        <color rgb="FFFCFCFF"/>
        <color rgb="FFF8696B"/>
      </colorScale>
    </cfRule>
    <cfRule type="colorScale" priority="47">
      <colorScale>
        <cfvo type="min"/>
        <cfvo type="max"/>
        <color rgb="FFFFFF00"/>
        <color rgb="FFFF0000"/>
      </colorScale>
    </cfRule>
    <cfRule type="colorScale" priority="49">
      <colorScale>
        <cfvo type="min"/>
        <cfvo type="max"/>
        <color rgb="FFFCFCFF"/>
        <color rgb="FFF8696B"/>
      </colorScale>
    </cfRule>
  </conditionalFormatting>
  <conditionalFormatting sqref="O8">
    <cfRule type="colorScale" priority="48">
      <colorScale>
        <cfvo type="min"/>
        <cfvo type="max"/>
        <color rgb="FFFCFCFF"/>
        <color rgb="FFF8696B"/>
      </colorScale>
    </cfRule>
  </conditionalFormatting>
  <conditionalFormatting sqref="O8">
    <cfRule type="colorScale" priority="46">
      <colorScale>
        <cfvo type="min"/>
        <cfvo type="max"/>
        <color rgb="FFFF7128"/>
        <color theme="6" tint="0.79998168889431442"/>
      </colorScale>
    </cfRule>
  </conditionalFormatting>
  <conditionalFormatting sqref="N9">
    <cfRule type="colorScale" priority="40">
      <colorScale>
        <cfvo type="min"/>
        <cfvo type="max"/>
        <color rgb="FFFCFCFF"/>
        <color rgb="FFF8696B"/>
      </colorScale>
    </cfRule>
    <cfRule type="colorScale" priority="42">
      <colorScale>
        <cfvo type="min"/>
        <cfvo type="max"/>
        <color rgb="FFFFFF00"/>
        <color rgb="FFFF0000"/>
      </colorScale>
    </cfRule>
    <cfRule type="colorScale" priority="44">
      <colorScale>
        <cfvo type="min"/>
        <cfvo type="max"/>
        <color rgb="FFFCFCFF"/>
        <color rgb="FFF8696B"/>
      </colorScale>
    </cfRule>
  </conditionalFormatting>
  <conditionalFormatting sqref="N9">
    <cfRule type="colorScale" priority="43">
      <colorScale>
        <cfvo type="min"/>
        <cfvo type="max"/>
        <color rgb="FFFCFCFF"/>
        <color rgb="FFF8696B"/>
      </colorScale>
    </cfRule>
  </conditionalFormatting>
  <conditionalFormatting sqref="N9">
    <cfRule type="colorScale" priority="41">
      <colorScale>
        <cfvo type="min"/>
        <cfvo type="max"/>
        <color rgb="FFFF7128"/>
        <color theme="6" tint="0.79998168889431442"/>
      </colorScale>
    </cfRule>
  </conditionalFormatting>
  <conditionalFormatting sqref="O9">
    <cfRule type="colorScale" priority="35">
      <colorScale>
        <cfvo type="min"/>
        <cfvo type="max"/>
        <color rgb="FFFCFCFF"/>
        <color rgb="FFF8696B"/>
      </colorScale>
    </cfRule>
    <cfRule type="colorScale" priority="37">
      <colorScale>
        <cfvo type="min"/>
        <cfvo type="max"/>
        <color rgb="FFFFFF00"/>
        <color rgb="FFFF0000"/>
      </colorScale>
    </cfRule>
    <cfRule type="colorScale" priority="39">
      <colorScale>
        <cfvo type="min"/>
        <cfvo type="max"/>
        <color rgb="FFFCFCFF"/>
        <color rgb="FFF8696B"/>
      </colorScale>
    </cfRule>
  </conditionalFormatting>
  <conditionalFormatting sqref="O9">
    <cfRule type="colorScale" priority="38">
      <colorScale>
        <cfvo type="min"/>
        <cfvo type="max"/>
        <color rgb="FFFCFCFF"/>
        <color rgb="FFF8696B"/>
      </colorScale>
    </cfRule>
  </conditionalFormatting>
  <conditionalFormatting sqref="O9">
    <cfRule type="colorScale" priority="36">
      <colorScale>
        <cfvo type="min"/>
        <cfvo type="max"/>
        <color rgb="FFFF7128"/>
        <color theme="6" tint="0.79998168889431442"/>
      </colorScale>
    </cfRule>
  </conditionalFormatting>
  <conditionalFormatting sqref="N10">
    <cfRule type="colorScale" priority="30">
      <colorScale>
        <cfvo type="min"/>
        <cfvo type="max"/>
        <color rgb="FFFCFCFF"/>
        <color rgb="FFF8696B"/>
      </colorScale>
    </cfRule>
    <cfRule type="colorScale" priority="32">
      <colorScale>
        <cfvo type="min"/>
        <cfvo type="max"/>
        <color rgb="FFFFFF00"/>
        <color rgb="FFFF0000"/>
      </colorScale>
    </cfRule>
    <cfRule type="colorScale" priority="34">
      <colorScale>
        <cfvo type="min"/>
        <cfvo type="max"/>
        <color rgb="FFFCFCFF"/>
        <color rgb="FFF8696B"/>
      </colorScale>
    </cfRule>
  </conditionalFormatting>
  <conditionalFormatting sqref="N10">
    <cfRule type="colorScale" priority="33">
      <colorScale>
        <cfvo type="min"/>
        <cfvo type="max"/>
        <color rgb="FFFCFCFF"/>
        <color rgb="FFF8696B"/>
      </colorScale>
    </cfRule>
  </conditionalFormatting>
  <conditionalFormatting sqref="N10">
    <cfRule type="colorScale" priority="31">
      <colorScale>
        <cfvo type="min"/>
        <cfvo type="max"/>
        <color rgb="FFFF7128"/>
        <color theme="6" tint="0.79998168889431442"/>
      </colorScale>
    </cfRule>
  </conditionalFormatting>
  <conditionalFormatting sqref="O10">
    <cfRule type="colorScale" priority="25">
      <colorScale>
        <cfvo type="min"/>
        <cfvo type="max"/>
        <color rgb="FFFCFCFF"/>
        <color rgb="FFF8696B"/>
      </colorScale>
    </cfRule>
    <cfRule type="colorScale" priority="27">
      <colorScale>
        <cfvo type="min"/>
        <cfvo type="max"/>
        <color rgb="FFFFFF00"/>
        <color rgb="FFFF0000"/>
      </colorScale>
    </cfRule>
    <cfRule type="colorScale" priority="29">
      <colorScale>
        <cfvo type="min"/>
        <cfvo type="max"/>
        <color rgb="FFFCFCFF"/>
        <color rgb="FFF8696B"/>
      </colorScale>
    </cfRule>
  </conditionalFormatting>
  <conditionalFormatting sqref="O10">
    <cfRule type="colorScale" priority="28">
      <colorScale>
        <cfvo type="min"/>
        <cfvo type="max"/>
        <color rgb="FFFCFCFF"/>
        <color rgb="FFF8696B"/>
      </colorScale>
    </cfRule>
  </conditionalFormatting>
  <conditionalFormatting sqref="O10">
    <cfRule type="colorScale" priority="26">
      <colorScale>
        <cfvo type="min"/>
        <cfvo type="max"/>
        <color rgb="FFFF7128"/>
        <color theme="6" tint="0.79998168889431442"/>
      </colorScale>
    </cfRule>
  </conditionalFormatting>
  <conditionalFormatting sqref="N11">
    <cfRule type="colorScale" priority="20">
      <colorScale>
        <cfvo type="min"/>
        <cfvo type="max"/>
        <color rgb="FFFCFCFF"/>
        <color rgb="FFF8696B"/>
      </colorScale>
    </cfRule>
    <cfRule type="colorScale" priority="22">
      <colorScale>
        <cfvo type="min"/>
        <cfvo type="max"/>
        <color rgb="FFFFFF00"/>
        <color rgb="FFFF0000"/>
      </colorScale>
    </cfRule>
    <cfRule type="colorScale" priority="24">
      <colorScale>
        <cfvo type="min"/>
        <cfvo type="max"/>
        <color rgb="FFFCFCFF"/>
        <color rgb="FFF8696B"/>
      </colorScale>
    </cfRule>
  </conditionalFormatting>
  <conditionalFormatting sqref="N11">
    <cfRule type="colorScale" priority="23">
      <colorScale>
        <cfvo type="min"/>
        <cfvo type="max"/>
        <color rgb="FFFCFCFF"/>
        <color rgb="FFF8696B"/>
      </colorScale>
    </cfRule>
  </conditionalFormatting>
  <conditionalFormatting sqref="N11">
    <cfRule type="colorScale" priority="21">
      <colorScale>
        <cfvo type="min"/>
        <cfvo type="max"/>
        <color rgb="FFFF7128"/>
        <color theme="6" tint="0.79998168889431442"/>
      </colorScale>
    </cfRule>
  </conditionalFormatting>
  <conditionalFormatting sqref="O11">
    <cfRule type="colorScale" priority="15">
      <colorScale>
        <cfvo type="min"/>
        <cfvo type="max"/>
        <color rgb="FFFCFCFF"/>
        <color rgb="FFF8696B"/>
      </colorScale>
    </cfRule>
    <cfRule type="colorScale" priority="17">
      <colorScale>
        <cfvo type="min"/>
        <cfvo type="max"/>
        <color rgb="FFFFFF00"/>
        <color rgb="FFFF0000"/>
      </colorScale>
    </cfRule>
    <cfRule type="colorScale" priority="19">
      <colorScale>
        <cfvo type="min"/>
        <cfvo type="max"/>
        <color rgb="FFFCFCFF"/>
        <color rgb="FFF8696B"/>
      </colorScale>
    </cfRule>
  </conditionalFormatting>
  <conditionalFormatting sqref="O11">
    <cfRule type="colorScale" priority="18">
      <colorScale>
        <cfvo type="min"/>
        <cfvo type="max"/>
        <color rgb="FFFCFCFF"/>
        <color rgb="FFF8696B"/>
      </colorScale>
    </cfRule>
  </conditionalFormatting>
  <conditionalFormatting sqref="O11">
    <cfRule type="colorScale" priority="16">
      <colorScale>
        <cfvo type="min"/>
        <cfvo type="max"/>
        <color rgb="FFFF7128"/>
        <color theme="6" tint="0.79998168889431442"/>
      </colorScale>
    </cfRule>
  </conditionalFormatting>
  <conditionalFormatting sqref="N12">
    <cfRule type="colorScale" priority="10">
      <colorScale>
        <cfvo type="min"/>
        <cfvo type="max"/>
        <color rgb="FFFCFCFF"/>
        <color rgb="FFF8696B"/>
      </colorScale>
    </cfRule>
    <cfRule type="colorScale" priority="12">
      <colorScale>
        <cfvo type="min"/>
        <cfvo type="max"/>
        <color rgb="FFFFFF00"/>
        <color rgb="FFFF0000"/>
      </colorScale>
    </cfRule>
    <cfRule type="colorScale" priority="14">
      <colorScale>
        <cfvo type="min"/>
        <cfvo type="max"/>
        <color rgb="FFFCFCFF"/>
        <color rgb="FFF8696B"/>
      </colorScale>
    </cfRule>
  </conditionalFormatting>
  <conditionalFormatting sqref="N12">
    <cfRule type="colorScale" priority="13">
      <colorScale>
        <cfvo type="min"/>
        <cfvo type="max"/>
        <color rgb="FFFCFCFF"/>
        <color rgb="FFF8696B"/>
      </colorScale>
    </cfRule>
  </conditionalFormatting>
  <conditionalFormatting sqref="N12">
    <cfRule type="colorScale" priority="11">
      <colorScale>
        <cfvo type="min"/>
        <cfvo type="max"/>
        <color rgb="FFFF7128"/>
        <color theme="6" tint="0.79998168889431442"/>
      </colorScale>
    </cfRule>
  </conditionalFormatting>
  <conditionalFormatting sqref="O12">
    <cfRule type="colorScale" priority="5">
      <colorScale>
        <cfvo type="min"/>
        <cfvo type="max"/>
        <color rgb="FFFCFCFF"/>
        <color rgb="FFF8696B"/>
      </colorScale>
    </cfRule>
    <cfRule type="colorScale" priority="7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</conditionalFormatting>
  <conditionalFormatting sqref="O12">
    <cfRule type="colorScale" priority="8">
      <colorScale>
        <cfvo type="min"/>
        <cfvo type="max"/>
        <color rgb="FFFCFCFF"/>
        <color rgb="FFF8696B"/>
      </colorScale>
    </cfRule>
  </conditionalFormatting>
  <conditionalFormatting sqref="O12">
    <cfRule type="colorScale" priority="6">
      <colorScale>
        <cfvo type="min"/>
        <cfvo type="max"/>
        <color rgb="FFFF7128"/>
        <color theme="6" tint="0.79998168889431442"/>
      </colorScale>
    </cfRule>
  </conditionalFormatting>
  <conditionalFormatting sqref="D12">
    <cfRule type="cellIs" dxfId="7" priority="2" operator="lessThan">
      <formula>1.5</formula>
    </cfRule>
    <cfRule type="cellIs" dxfId="6" priority="4" operator="lessThan">
      <formula>1.5</formula>
    </cfRule>
  </conditionalFormatting>
  <conditionalFormatting sqref="E12">
    <cfRule type="cellIs" dxfId="5" priority="3" operator="lessThan">
      <formula>1</formula>
    </cfRule>
  </conditionalFormatting>
  <conditionalFormatting sqref="F12">
    <cfRule type="cellIs" dxfId="4" priority="1" operator="lessThan">
      <formula>0.8</formula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0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C2" sqref="C2:Q12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hidden="1" customWidth="1"/>
    <col min="16" max="16" width="20.570312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31" t="s">
        <v>95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63" t="s">
        <v>53</v>
      </c>
      <c r="P1" s="63"/>
      <c r="Q1" s="41"/>
    </row>
    <row r="2" spans="1:25" ht="54.75" customHeight="1" thickBot="1">
      <c r="C2" s="132" t="s">
        <v>41</v>
      </c>
      <c r="D2" s="133" t="s">
        <v>40</v>
      </c>
      <c r="E2" s="133"/>
      <c r="F2" s="133"/>
      <c r="G2" s="133"/>
      <c r="H2" s="134" t="s">
        <v>39</v>
      </c>
      <c r="I2" s="134"/>
      <c r="J2" s="134"/>
      <c r="K2" s="135" t="s">
        <v>38</v>
      </c>
      <c r="L2" s="135"/>
      <c r="M2" s="135"/>
      <c r="N2" s="136" t="s">
        <v>94</v>
      </c>
      <c r="O2" s="147" t="s">
        <v>91</v>
      </c>
      <c r="P2" s="144" t="s">
        <v>92</v>
      </c>
      <c r="Q2" s="138" t="s">
        <v>37</v>
      </c>
    </row>
    <row r="3" spans="1:25" ht="38.25" customHeight="1" thickBot="1">
      <c r="C3" s="132"/>
      <c r="D3" s="139" t="s">
        <v>36</v>
      </c>
      <c r="E3" s="139" t="s">
        <v>35</v>
      </c>
      <c r="F3" s="139" t="s">
        <v>34</v>
      </c>
      <c r="G3" s="140" t="s">
        <v>29</v>
      </c>
      <c r="H3" s="141" t="s">
        <v>33</v>
      </c>
      <c r="I3" s="132" t="s">
        <v>32</v>
      </c>
      <c r="J3" s="142" t="s">
        <v>29</v>
      </c>
      <c r="K3" s="143" t="s">
        <v>31</v>
      </c>
      <c r="L3" s="132" t="s">
        <v>30</v>
      </c>
      <c r="M3" s="137" t="s">
        <v>29</v>
      </c>
      <c r="N3" s="136"/>
      <c r="O3" s="147"/>
      <c r="P3" s="145"/>
      <c r="Q3" s="138"/>
    </row>
    <row r="4" spans="1:25" ht="36.75" customHeight="1" thickBot="1">
      <c r="C4" s="132"/>
      <c r="D4" s="139"/>
      <c r="E4" s="139"/>
      <c r="F4" s="139"/>
      <c r="G4" s="140"/>
      <c r="H4" s="141"/>
      <c r="I4" s="132"/>
      <c r="J4" s="142"/>
      <c r="K4" s="143"/>
      <c r="L4" s="132"/>
      <c r="M4" s="137"/>
      <c r="N4" s="136"/>
      <c r="O4" s="147"/>
      <c r="P4" s="146"/>
      <c r="Q4" s="13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103">
        <v>22920</v>
      </c>
      <c r="D5" s="47">
        <v>2.0699999999999998</v>
      </c>
      <c r="E5" s="47">
        <v>1.95</v>
      </c>
      <c r="F5" s="47">
        <v>1.49</v>
      </c>
      <c r="G5" s="47">
        <f t="shared" ref="G5:G12" si="0">(IF(D5&lt;1.5,1,0))+(IF(E5&lt;1,1,0))+(IF(F5&lt;0.8,1,0))</f>
        <v>0</v>
      </c>
      <c r="H5" s="53">
        <v>8924510.2599999998</v>
      </c>
      <c r="I5" s="53">
        <v>3954083.69</v>
      </c>
      <c r="J5" s="47">
        <f t="shared" ref="J5:J12" si="1">IF(I5&lt;0,1,0)+IF(H5&lt;0,1,0)</f>
        <v>0</v>
      </c>
      <c r="K5" s="44">
        <f t="shared" ref="K5" si="2">SUM(I5/1)</f>
        <v>3954083.69</v>
      </c>
      <c r="L5" s="45">
        <f t="shared" ref="L5:L12" si="3">+H5/K5</f>
        <v>2.2570362591389661</v>
      </c>
      <c r="M5" s="43">
        <f t="shared" ref="M5" si="4">IF(AND(I5&lt;0,H5&lt;0),2,IF(AND(I5&gt;0,H5&gt;0),0,IF(AND(H5&lt;0,I5&gt;0),IF(ABS((H5/(I5/1)))&lt;3,0,IF(ABS((H5/(I5/1)))&gt;6,2,1)),IF(AND(H5&gt;0,I5&lt;0),IF(ABS((H5/(I5/1)))&lt;3,2,IF(ABS((H5/(I5/1)))&gt;6,0,1))))))</f>
        <v>0</v>
      </c>
      <c r="N5" s="46">
        <f t="shared" ref="N5:N12" si="5">SUM(G5+J5+M5)</f>
        <v>0</v>
      </c>
      <c r="O5" s="83">
        <v>0</v>
      </c>
      <c r="P5" s="88">
        <v>4287641.6900000004</v>
      </c>
      <c r="Q5" s="86">
        <v>4105083.56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103">
        <v>22951</v>
      </c>
      <c r="D6" s="47">
        <v>1.96</v>
      </c>
      <c r="E6" s="47">
        <v>1.83</v>
      </c>
      <c r="F6" s="47">
        <v>1.35</v>
      </c>
      <c r="G6" s="47">
        <f t="shared" si="0"/>
        <v>0</v>
      </c>
      <c r="H6" s="53">
        <v>7499624.7400000002</v>
      </c>
      <c r="I6" s="53">
        <v>2303920.1</v>
      </c>
      <c r="J6" s="47">
        <f t="shared" si="1"/>
        <v>0</v>
      </c>
      <c r="K6" s="44">
        <f t="shared" ref="K6" si="6">SUM(I6/2)</f>
        <v>1151960.05</v>
      </c>
      <c r="L6" s="45">
        <f t="shared" si="3"/>
        <v>6.510316690235916</v>
      </c>
      <c r="M6" s="43">
        <f t="shared" ref="M6" si="7">IF(AND(I6&lt;0,H6&lt;0),2,IF(AND(I6&gt;0,H6&gt;0),0,IF(AND(H6&lt;0,I6&gt;0),IF(ABS((H6/(I6/2)))&lt;3,0,IF(ABS((H6/(I6/2)))&gt;6,2,1)),IF(AND(H6&gt;0,I6&lt;0),IF(ABS((H6/(I6/2)))&lt;3,2,IF(ABS((H6/(I6/2)))&gt;6,0,1))))))</f>
        <v>0</v>
      </c>
      <c r="N6" s="46">
        <f t="shared" si="5"/>
        <v>0</v>
      </c>
      <c r="O6" s="46">
        <f>ต.ค.62!N6</f>
        <v>4</v>
      </c>
      <c r="P6" s="88">
        <v>2979569.43</v>
      </c>
      <c r="Q6" s="53">
        <v>2718333.94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103">
        <v>22981</v>
      </c>
      <c r="D7" s="69">
        <v>1.77</v>
      </c>
      <c r="E7" s="69">
        <v>1.63</v>
      </c>
      <c r="F7" s="69">
        <v>1.1399999999999999</v>
      </c>
      <c r="G7" s="69">
        <f t="shared" si="0"/>
        <v>0</v>
      </c>
      <c r="H7" s="61">
        <v>6015069.5800000001</v>
      </c>
      <c r="I7" s="61">
        <v>576662.64</v>
      </c>
      <c r="J7" s="69">
        <f t="shared" si="1"/>
        <v>0</v>
      </c>
      <c r="K7" s="77">
        <f>SUM(I7/3)</f>
        <v>192220.88</v>
      </c>
      <c r="L7" s="71">
        <f t="shared" si="3"/>
        <v>31.292487996101151</v>
      </c>
      <c r="M7" s="72">
        <f t="shared" ref="M7" si="8">IF(AND(I7&lt;0,H7&lt;0),2,IF(AND(I7&gt;0,H7&gt;0),0,IF(AND(H7&lt;0,I7&gt;0),IF(ABS((H7/(I7/3)))&lt;3,0,IF(ABS((H7/(I7/3)))&gt;6,2,1)),IF(AND(H7&gt;0,I7&lt;0),IF(ABS((H7/(I7/3)))&lt;3,2,IF(ABS((H7/(I7/3)))&gt;6,0,1))))))</f>
        <v>0</v>
      </c>
      <c r="N7" s="73">
        <f t="shared" si="5"/>
        <v>0</v>
      </c>
      <c r="O7" s="73">
        <f>พ.ย.62!N7</f>
        <v>1</v>
      </c>
      <c r="P7" s="78">
        <v>1604722.3</v>
      </c>
      <c r="Q7" s="61">
        <v>1083998.1399999999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103">
        <v>23012</v>
      </c>
      <c r="D8" s="47">
        <v>1.68</v>
      </c>
      <c r="E8" s="47">
        <v>1.54</v>
      </c>
      <c r="F8" s="47">
        <v>1.1100000000000001</v>
      </c>
      <c r="G8" s="47">
        <f t="shared" si="0"/>
        <v>0</v>
      </c>
      <c r="H8" s="53">
        <v>5111018.01</v>
      </c>
      <c r="I8" s="94">
        <v>-450495.23</v>
      </c>
      <c r="J8" s="93">
        <f t="shared" si="1"/>
        <v>1</v>
      </c>
      <c r="K8" s="96">
        <f t="shared" ref="K8" si="9">SUM(I8/4)</f>
        <v>-112623.8075</v>
      </c>
      <c r="L8" s="45">
        <f t="shared" si="3"/>
        <v>-45.381328543700675</v>
      </c>
      <c r="M8" s="43">
        <f t="shared" ref="M8" si="10">IF(AND(I8&lt;0,H8&lt;0),2,IF(AND(I8&gt;0,H8&gt;0),0,IF(AND(H8&lt;0,I8&gt;0),IF(ABS((H8/(I8/4)))&lt;3,0,IF(ABS((H8/(I8/4)))&gt;6,2,1)),IF(AND(H8&gt;0,I8&lt;0),IF(ABS((H8/(I8/4)))&lt;3,2,IF(ABS((H8/(I8/4)))&gt;6,0,1))))))</f>
        <v>0</v>
      </c>
      <c r="N8" s="46">
        <f t="shared" si="5"/>
        <v>1</v>
      </c>
      <c r="O8" s="46">
        <f>ธ.ค.62!N8</f>
        <v>0</v>
      </c>
      <c r="P8" s="53">
        <v>924019.6</v>
      </c>
      <c r="Q8" s="53">
        <v>830645.04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103">
        <v>23043</v>
      </c>
      <c r="D9" s="47">
        <v>1.84</v>
      </c>
      <c r="E9" s="47">
        <v>1.69</v>
      </c>
      <c r="F9" s="47">
        <v>1.24</v>
      </c>
      <c r="G9" s="47">
        <f t="shared" si="0"/>
        <v>0</v>
      </c>
      <c r="H9" s="53">
        <v>6469105.2699999996</v>
      </c>
      <c r="I9" s="53">
        <v>453097.94</v>
      </c>
      <c r="J9" s="47">
        <f t="shared" si="1"/>
        <v>0</v>
      </c>
      <c r="K9" s="44">
        <f t="shared" ref="K9" si="11">SUM(I9/5)</f>
        <v>90619.588000000003</v>
      </c>
      <c r="L9" s="45">
        <f t="shared" si="3"/>
        <v>71.387493728177176</v>
      </c>
      <c r="M9" s="43">
        <f t="shared" ref="M9" si="12">IF(AND(I9&lt;0,H9&lt;0),2,IF(AND(I9&gt;0,H9&gt;0),0,IF(AND(H9&lt;0,I9&gt;0),IF(ABS((H9/(I9/5)))&lt;3,0,IF(ABS((H9/(I9/5)))&gt;6,2,1)),IF(AND(H9&gt;0,I9&lt;0),IF(ABS((H9/(I9/5)))&lt;3,2,IF(ABS((H9/(I9/5)))&gt;6,0,1))))))</f>
        <v>0</v>
      </c>
      <c r="N9" s="46">
        <f t="shared" si="5"/>
        <v>0</v>
      </c>
      <c r="O9" s="46">
        <f>ม.ค.63!N9</f>
        <v>0</v>
      </c>
      <c r="P9" s="53">
        <v>2132909.52</v>
      </c>
      <c r="Q9" s="53">
        <v>1844379.65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104">
        <v>23071</v>
      </c>
      <c r="D10" s="57">
        <v>1.9</v>
      </c>
      <c r="E10" s="47">
        <v>1.76</v>
      </c>
      <c r="F10" s="47">
        <v>1.42</v>
      </c>
      <c r="G10" s="47">
        <f t="shared" si="0"/>
        <v>0</v>
      </c>
      <c r="H10" s="53">
        <v>7432761.3300000001</v>
      </c>
      <c r="I10" s="53">
        <v>2124345.83</v>
      </c>
      <c r="J10" s="47">
        <f t="shared" si="1"/>
        <v>0</v>
      </c>
      <c r="K10" s="44">
        <f t="shared" ref="K10" si="13">SUM(I10/6)</f>
        <v>354057.63833333337</v>
      </c>
      <c r="L10" s="45">
        <f t="shared" si="3"/>
        <v>20.993082835293347</v>
      </c>
      <c r="M10" s="43">
        <f t="shared" ref="M10" si="14">IF(AND(I10&lt;0,H10&lt;0),2,IF(AND(I10&gt;0,H10&gt;0),0,IF(AND(H10&lt;0,I10&gt;0),IF(ABS((H10/(I10/6)))&lt;3,0,IF(ABS((H10/(I10/6)))&gt;6,2,1)),IF(AND(H10&gt;0,I10&lt;0),IF(ABS((H10/(I10/6)))&lt;3,2,IF(ABS((H10/(I10/6)))&gt;6,0,1))))))</f>
        <v>0</v>
      </c>
      <c r="N10" s="46">
        <f t="shared" si="5"/>
        <v>0</v>
      </c>
      <c r="O10" s="46">
        <f>ก.พ.63!N10</f>
        <v>1</v>
      </c>
      <c r="P10" s="100">
        <v>3210563.34</v>
      </c>
      <c r="Q10" s="53">
        <v>3513628.89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104">
        <v>23102</v>
      </c>
      <c r="D11" s="47">
        <v>1.58</v>
      </c>
      <c r="E11" s="47">
        <v>1.37</v>
      </c>
      <c r="F11" s="47">
        <v>1.0900000000000001</v>
      </c>
      <c r="G11" s="47">
        <f t="shared" si="0"/>
        <v>0</v>
      </c>
      <c r="H11" s="53">
        <v>5590344.75</v>
      </c>
      <c r="I11" s="68">
        <v>-41537.599999999999</v>
      </c>
      <c r="J11" s="42">
        <f t="shared" si="1"/>
        <v>1</v>
      </c>
      <c r="K11" s="59">
        <f>SUM(I11/7)</f>
        <v>-5933.9428571428571</v>
      </c>
      <c r="L11" s="45">
        <f t="shared" si="3"/>
        <v>-942.09615504988255</v>
      </c>
      <c r="M11" s="43">
        <f t="shared" ref="M11" si="15">IF(AND(I11&lt;0,H11&lt;0),2,IF(AND(I11&gt;0,H11&gt;0),0,IF(AND(H11&lt;0,I11&gt;0),IF(ABS((H11/(I11/7)))&lt;3,0,IF(ABS((H11/(I11/7)))&gt;6,2,1)),IF(AND(H11&gt;0,I11&lt;0),IF(ABS((H11/(I11/7)))&lt;3,2,IF(ABS((H11/(I11/7)))&gt;6,0,1))))))</f>
        <v>0</v>
      </c>
      <c r="N11" s="46">
        <f t="shared" si="5"/>
        <v>1</v>
      </c>
      <c r="O11" s="46">
        <f>มี.ค.63!N11</f>
        <v>0</v>
      </c>
      <c r="P11" s="100">
        <v>1355926.98</v>
      </c>
      <c r="Q11" s="53">
        <v>846541.59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104">
        <v>23132</v>
      </c>
      <c r="D12" s="57">
        <v>1.38</v>
      </c>
      <c r="E12" s="57">
        <v>1.17</v>
      </c>
      <c r="F12" s="57">
        <v>0.93</v>
      </c>
      <c r="G12" s="42">
        <f t="shared" si="0"/>
        <v>1</v>
      </c>
      <c r="H12" s="53">
        <v>3735101.09</v>
      </c>
      <c r="I12" s="68">
        <v>-2310479.79</v>
      </c>
      <c r="J12" s="42">
        <f t="shared" si="1"/>
        <v>1</v>
      </c>
      <c r="K12" s="59">
        <f t="shared" ref="K12" si="16">SUM(I12/8)</f>
        <v>-288809.97375</v>
      </c>
      <c r="L12" s="45">
        <f t="shared" si="3"/>
        <v>-12.932728885717713</v>
      </c>
      <c r="M12" s="43">
        <f t="shared" ref="M12" si="17">IF(AND(I12&lt;0,H12&lt;0),2,IF(AND(I12&gt;0,H12&gt;0),0,IF(AND(H12&lt;0,I12&gt;0),IF(ABS((H12/(I12/8)))&lt;3,0,IF(ABS((H12/(I12/8)))&gt;6,2,1)),IF(AND(H12&gt;0,I12&lt;0),IF(ABS((H12/(I12/8)))&lt;3,2,IF(ABS((H12/(I12/8)))&gt;6,0,1))))))</f>
        <v>0</v>
      </c>
      <c r="N12" s="46">
        <f t="shared" si="5"/>
        <v>2</v>
      </c>
      <c r="O12" s="46">
        <f>เม.ย.63!N12</f>
        <v>1</v>
      </c>
      <c r="P12" s="68">
        <v>-597874.78</v>
      </c>
      <c r="Q12" s="68">
        <v>-681823.76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105"/>
      <c r="D13" s="47"/>
      <c r="E13" s="47"/>
      <c r="F13" s="47"/>
      <c r="G13" s="47"/>
      <c r="H13" s="53"/>
      <c r="I13" s="53"/>
      <c r="J13" s="47"/>
      <c r="K13" s="51"/>
      <c r="L13" s="45" t="e">
        <f t="shared" ref="L13:L16" si="18">+H13/K13</f>
        <v>#DIV/0!</v>
      </c>
      <c r="M13" s="43" t="b">
        <f t="shared" ref="M13:M16" si="19">IF(AND(I13&lt;0,H13&lt;0),2,IF(AND(I13&gt;0,H13&gt;0),0,IF(AND(H13&lt;0,I13&gt;0),IF(ABS((H13/(I13/12)))&lt;3,0,IF(ABS((H13/(I13/12)))&gt;6,2,1)),IF(AND(H13&gt;0,I13&lt;0),IF(ABS((H13/(I13/12)))&lt;3,2,IF(ABS((H13/(I13/12)))&gt;6,0,1))))))</f>
        <v>0</v>
      </c>
      <c r="N13" s="46"/>
      <c r="O13" s="46">
        <f>ส.ค.63!N13</f>
        <v>3</v>
      </c>
      <c r="P13" s="46"/>
      <c r="Q13" s="53"/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105"/>
      <c r="D14" s="47"/>
      <c r="E14" s="47"/>
      <c r="F14" s="47"/>
      <c r="G14" s="47"/>
      <c r="H14" s="53"/>
      <c r="I14" s="53"/>
      <c r="J14" s="47"/>
      <c r="K14" s="51"/>
      <c r="L14" s="45" t="e">
        <f t="shared" si="18"/>
        <v>#DIV/0!</v>
      </c>
      <c r="M14" s="43" t="b">
        <f t="shared" si="19"/>
        <v>0</v>
      </c>
      <c r="N14" s="46"/>
      <c r="O14" s="46">
        <f>ส.ค.63!N14</f>
        <v>3</v>
      </c>
      <c r="P14" s="46"/>
      <c r="Q14" s="53"/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105"/>
      <c r="D15" s="47"/>
      <c r="E15" s="47"/>
      <c r="F15" s="47"/>
      <c r="G15" s="47"/>
      <c r="H15" s="53"/>
      <c r="I15" s="53"/>
      <c r="J15" s="47"/>
      <c r="K15" s="51"/>
      <c r="L15" s="45" t="e">
        <f t="shared" si="18"/>
        <v>#DIV/0!</v>
      </c>
      <c r="M15" s="43" t="b">
        <f t="shared" si="19"/>
        <v>0</v>
      </c>
      <c r="N15" s="46"/>
      <c r="O15" s="46">
        <f>ส.ค.63!N15</f>
        <v>3</v>
      </c>
      <c r="P15" s="46"/>
      <c r="Q15" s="53"/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105"/>
      <c r="D16" s="47"/>
      <c r="E16" s="47"/>
      <c r="F16" s="47"/>
      <c r="G16" s="47"/>
      <c r="H16" s="53"/>
      <c r="I16" s="67"/>
      <c r="J16" s="47"/>
      <c r="K16" s="51"/>
      <c r="L16" s="45" t="e">
        <f t="shared" si="18"/>
        <v>#DIV/0!</v>
      </c>
      <c r="M16" s="43" t="b">
        <f t="shared" si="19"/>
        <v>0</v>
      </c>
      <c r="N16" s="46"/>
      <c r="O16" s="46">
        <f>ส.ค.63!N16</f>
        <v>3</v>
      </c>
      <c r="P16" s="46"/>
      <c r="Q16" s="53"/>
      <c r="S16" s="9"/>
      <c r="V16" s="10"/>
      <c r="W16" s="13"/>
      <c r="X16" s="13"/>
      <c r="Y16" s="10"/>
    </row>
    <row r="17" spans="3:25" ht="20.25" customHeight="1" thickBot="1">
      <c r="C17" s="14"/>
      <c r="D17" s="14"/>
      <c r="E17" s="14"/>
      <c r="F17" s="14"/>
      <c r="G17" s="14"/>
      <c r="H17" s="39"/>
      <c r="I17" s="39"/>
      <c r="J17" s="14"/>
      <c r="K17" s="14"/>
      <c r="L17" s="15"/>
      <c r="M17" s="40" t="b">
        <f>IF(AND(I17&lt;0,L17&lt;0),2,IF(AND(I17&gt;0,H17&gt;0),0,IF(AND(H17&lt;0,I17&gt;0),IF(ABS((H17/(I17/12)))&lt;3,0,IF(ABS((H17/(I17/12)))&gt;6,2,1)),IF(AND(H17&gt;0,I17&lt;0),IF(ABS((H17/(I17/12)))&lt;3,2,IF(ABS((H17/(I17/12)))&gt;6,0,1))))))</f>
        <v>0</v>
      </c>
      <c r="N17" s="15"/>
      <c r="O17" s="14"/>
      <c r="P17" s="14"/>
      <c r="Q17" s="60"/>
      <c r="W17" s="12"/>
      <c r="X17" s="12"/>
      <c r="Y17" s="11"/>
    </row>
    <row r="18" spans="3:25" ht="22.5" customHeight="1">
      <c r="C18" s="16"/>
      <c r="D18" s="17"/>
      <c r="E18" s="17"/>
      <c r="F18" s="17"/>
      <c r="G18" s="17"/>
      <c r="H18" s="18"/>
      <c r="I18" s="18"/>
      <c r="J18" s="18"/>
      <c r="K18" s="19" t="s">
        <v>12</v>
      </c>
      <c r="L18" s="20"/>
      <c r="M18" s="20"/>
      <c r="N18" s="20"/>
      <c r="O18" s="14"/>
      <c r="P18" s="14"/>
    </row>
    <row r="19" spans="3:25" ht="23.25">
      <c r="C19" s="21" t="s">
        <v>11</v>
      </c>
      <c r="D19" s="18"/>
      <c r="E19" s="18"/>
      <c r="F19" s="18"/>
      <c r="G19" s="18"/>
      <c r="H19" s="18"/>
      <c r="I19" s="18"/>
      <c r="J19" s="18"/>
      <c r="K19" s="22" t="s">
        <v>10</v>
      </c>
      <c r="L19" s="128" t="s">
        <v>5</v>
      </c>
      <c r="M19" s="128"/>
      <c r="N19" s="128"/>
      <c r="O19" s="14"/>
      <c r="P19" s="14"/>
    </row>
    <row r="20" spans="3:25" ht="23.25">
      <c r="C20" s="21"/>
      <c r="D20" s="18"/>
      <c r="E20" s="18"/>
      <c r="F20" s="18"/>
      <c r="G20" s="18"/>
      <c r="H20" s="18"/>
      <c r="I20" s="18"/>
      <c r="J20" s="18"/>
      <c r="K20" s="23" t="s">
        <v>4</v>
      </c>
      <c r="L20" s="128"/>
      <c r="M20" s="128"/>
      <c r="N20" s="128"/>
      <c r="O20" s="14"/>
      <c r="P20" s="14"/>
    </row>
    <row r="21" spans="3:25" ht="26.25" customHeight="1">
      <c r="C21" s="24" t="s">
        <v>9</v>
      </c>
      <c r="D21" s="18"/>
      <c r="E21" s="18"/>
      <c r="F21" s="18"/>
      <c r="G21" s="18"/>
      <c r="H21" s="18"/>
      <c r="I21" s="18"/>
      <c r="J21" s="18"/>
      <c r="K21" s="25" t="s">
        <v>45</v>
      </c>
      <c r="L21" s="128" t="s">
        <v>5</v>
      </c>
      <c r="M21" s="128"/>
      <c r="N21" s="128"/>
      <c r="O21" s="14"/>
      <c r="P21" s="14"/>
    </row>
    <row r="22" spans="3:25" ht="23.25">
      <c r="C22" s="21"/>
      <c r="D22" s="18"/>
      <c r="E22" s="18"/>
      <c r="F22" s="18"/>
      <c r="G22" s="18"/>
      <c r="H22" s="18"/>
      <c r="I22" s="18"/>
      <c r="J22" s="18"/>
      <c r="K22" s="23" t="s">
        <v>4</v>
      </c>
      <c r="L22" s="128"/>
      <c r="M22" s="128"/>
      <c r="N22" s="128"/>
      <c r="O22" s="14"/>
      <c r="P22" s="14"/>
    </row>
    <row r="23" spans="3:25" ht="23.25">
      <c r="C23" s="21" t="s">
        <v>8</v>
      </c>
      <c r="D23" s="18"/>
      <c r="E23" s="18"/>
      <c r="F23" s="18"/>
      <c r="G23" s="18"/>
      <c r="H23" s="18"/>
      <c r="I23" s="23" t="s">
        <v>7</v>
      </c>
      <c r="J23" s="26"/>
      <c r="K23" s="129" t="s">
        <v>5</v>
      </c>
      <c r="L23" s="129"/>
      <c r="M23" s="102"/>
      <c r="N23" s="102"/>
      <c r="O23" s="14"/>
      <c r="P23" s="14"/>
    </row>
    <row r="24" spans="3:25" ht="23.25">
      <c r="C24" s="27" t="s">
        <v>6</v>
      </c>
      <c r="D24" s="18"/>
      <c r="E24" s="18"/>
      <c r="F24" s="18"/>
      <c r="G24" s="18"/>
      <c r="H24" s="18"/>
      <c r="I24" s="37" t="s">
        <v>46</v>
      </c>
      <c r="J24" s="28"/>
      <c r="K24" s="29"/>
      <c r="L24" s="30"/>
      <c r="M24" s="30"/>
      <c r="N24" s="30"/>
      <c r="O24" s="14"/>
      <c r="P24" s="14"/>
    </row>
    <row r="25" spans="3:25" ht="11.25" customHeight="1">
      <c r="C25" s="14"/>
      <c r="D25" s="14"/>
      <c r="E25" s="14"/>
      <c r="F25" s="14"/>
      <c r="G25" s="14"/>
      <c r="H25" s="14"/>
      <c r="I25" s="18"/>
      <c r="J25" s="18"/>
      <c r="K25" s="31"/>
      <c r="L25" s="32"/>
      <c r="M25" s="32"/>
      <c r="N25" s="32"/>
      <c r="O25" s="14"/>
      <c r="P25" s="14"/>
    </row>
    <row r="26" spans="3:25" ht="23.25" customHeight="1">
      <c r="C26" s="31"/>
      <c r="D26" s="18"/>
      <c r="E26" s="18"/>
      <c r="F26" s="18"/>
      <c r="G26" s="18"/>
      <c r="H26" s="18"/>
      <c r="I26" s="18"/>
      <c r="J26" s="18"/>
      <c r="K26" s="22" t="s">
        <v>47</v>
      </c>
      <c r="L26" s="128" t="s">
        <v>5</v>
      </c>
      <c r="M26" s="128"/>
      <c r="N26" s="128"/>
      <c r="O26" s="14"/>
      <c r="P26" s="14"/>
    </row>
    <row r="27" spans="3:25" ht="21.75" customHeight="1">
      <c r="C27" s="31"/>
      <c r="D27" s="18"/>
      <c r="E27" s="18"/>
      <c r="F27" s="18"/>
      <c r="G27" s="18"/>
      <c r="H27" s="18"/>
      <c r="I27" s="18"/>
      <c r="J27" s="18"/>
      <c r="K27" s="23" t="s">
        <v>4</v>
      </c>
      <c r="L27" s="128"/>
      <c r="M27" s="128"/>
      <c r="N27" s="128"/>
      <c r="O27" s="14"/>
      <c r="P27" s="14"/>
    </row>
    <row r="28" spans="3:25" ht="23.25">
      <c r="C28" s="33" t="s">
        <v>48</v>
      </c>
      <c r="D28" s="18"/>
      <c r="E28" s="18"/>
      <c r="F28" s="18"/>
      <c r="G28" s="18"/>
      <c r="H28" s="18"/>
      <c r="I28" s="34"/>
      <c r="J28" s="34"/>
      <c r="K28" s="31"/>
      <c r="L28" s="32"/>
      <c r="M28" s="32"/>
      <c r="N28" s="32"/>
      <c r="O28" s="14"/>
      <c r="P28" s="14"/>
      <c r="Q28" s="14"/>
    </row>
    <row r="29" spans="3:25" ht="23.25">
      <c r="C29" s="21" t="s">
        <v>3</v>
      </c>
      <c r="D29" s="18"/>
      <c r="E29" s="18"/>
      <c r="F29" s="18"/>
      <c r="G29" s="18"/>
      <c r="H29" s="18"/>
      <c r="I29" s="18"/>
      <c r="J29" s="18"/>
      <c r="K29" s="31"/>
      <c r="L29" s="32"/>
      <c r="M29" s="32"/>
      <c r="N29" s="32"/>
      <c r="O29" s="14"/>
      <c r="P29" s="14"/>
      <c r="Q29" s="14"/>
    </row>
    <row r="30" spans="3:25" ht="23.25">
      <c r="C30" s="33" t="s">
        <v>49</v>
      </c>
      <c r="D30" s="18"/>
      <c r="E30" s="18"/>
      <c r="F30" s="18"/>
      <c r="G30" s="18"/>
      <c r="H30" s="18"/>
      <c r="I30" s="18"/>
      <c r="J30" s="18"/>
      <c r="K30" s="31"/>
      <c r="L30" s="32"/>
      <c r="M30" s="32"/>
      <c r="N30" s="32"/>
      <c r="O30" s="14"/>
      <c r="P30" s="14"/>
      <c r="Q30" s="14"/>
    </row>
    <row r="31" spans="3:25" ht="23.25">
      <c r="C31" s="33" t="s">
        <v>50</v>
      </c>
      <c r="D31" s="18"/>
      <c r="E31" s="18"/>
      <c r="F31" s="18"/>
      <c r="G31" s="18"/>
      <c r="H31" s="18"/>
      <c r="I31" s="18"/>
      <c r="J31" s="18"/>
      <c r="K31" s="31"/>
      <c r="L31" s="32"/>
      <c r="M31" s="32"/>
      <c r="N31" s="32"/>
      <c r="O31" s="14"/>
      <c r="P31" s="14"/>
      <c r="Q31" s="14"/>
    </row>
    <row r="32" spans="3:25" ht="23.25">
      <c r="C32" s="33" t="s">
        <v>51</v>
      </c>
      <c r="D32" s="18"/>
      <c r="E32" s="21"/>
      <c r="F32" s="35"/>
      <c r="G32" s="35"/>
      <c r="H32" s="35"/>
      <c r="I32" s="35"/>
      <c r="J32" s="35"/>
      <c r="K32" s="36"/>
      <c r="L32" s="32"/>
      <c r="M32" s="32"/>
      <c r="N32" s="32"/>
      <c r="O32" s="14"/>
      <c r="P32" s="14"/>
      <c r="Q32" s="14"/>
    </row>
    <row r="33" spans="3:17" ht="23.25">
      <c r="C33" s="31"/>
      <c r="D33" s="18"/>
      <c r="E33" s="21" t="s">
        <v>2</v>
      </c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1"/>
      <c r="D34" s="18"/>
      <c r="E34" s="21" t="s">
        <v>54</v>
      </c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14" t="s">
        <v>55</v>
      </c>
      <c r="D35" s="18"/>
      <c r="E35" s="21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1"/>
      <c r="D36" s="18"/>
      <c r="E36" s="21" t="s">
        <v>1</v>
      </c>
      <c r="F36" s="18"/>
      <c r="G36" s="18"/>
      <c r="H36" s="18"/>
      <c r="I36" s="18"/>
      <c r="J36" s="18"/>
      <c r="K36" s="31"/>
      <c r="L36" s="32"/>
      <c r="M36" s="32"/>
      <c r="N36" s="32"/>
      <c r="O36" s="14"/>
      <c r="P36" s="14"/>
      <c r="Q36" s="14"/>
    </row>
    <row r="37" spans="3:17" ht="23.25">
      <c r="C37" s="14" t="s">
        <v>0</v>
      </c>
      <c r="D37" s="18"/>
      <c r="E37" s="18"/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3" t="s">
        <v>52</v>
      </c>
      <c r="D38" s="18"/>
      <c r="E38" s="18"/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3:17">
      <c r="C40" s="7"/>
      <c r="D40" s="6"/>
      <c r="E40" s="6"/>
      <c r="F40" s="5"/>
      <c r="G40" s="5"/>
      <c r="H40" s="4"/>
      <c r="I40" s="3"/>
      <c r="J40" s="3"/>
      <c r="K40" s="3"/>
      <c r="L40" s="2"/>
      <c r="M40" s="2"/>
      <c r="N40" s="2"/>
    </row>
  </sheetData>
  <mergeCells count="23">
    <mergeCell ref="L19:N20"/>
    <mergeCell ref="L21:N22"/>
    <mergeCell ref="K23:L23"/>
    <mergeCell ref="L26:N27"/>
    <mergeCell ref="O2:O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C1:N1"/>
    <mergeCell ref="C2:C4"/>
    <mergeCell ref="D2:G2"/>
    <mergeCell ref="H2:J2"/>
    <mergeCell ref="K2:M2"/>
    <mergeCell ref="N2:N4"/>
    <mergeCell ref="K3:K4"/>
    <mergeCell ref="L3:L4"/>
    <mergeCell ref="M3:M4"/>
  </mergeCells>
  <conditionalFormatting sqref="N13:N16">
    <cfRule type="colorScale" priority="169">
      <colorScale>
        <cfvo type="min"/>
        <cfvo type="max"/>
        <color rgb="FFFCFCFF"/>
        <color rgb="FFF8696B"/>
      </colorScale>
    </cfRule>
    <cfRule type="colorScale" priority="170">
      <colorScale>
        <cfvo type="min"/>
        <cfvo type="max"/>
        <color rgb="FFFFFF00"/>
        <color rgb="FFFF0000"/>
      </colorScale>
    </cfRule>
    <cfRule type="colorScale" priority="171">
      <colorScale>
        <cfvo type="min"/>
        <cfvo type="max"/>
        <color rgb="FFFCFCFF"/>
        <color rgb="FFF8696B"/>
      </colorScale>
    </cfRule>
  </conditionalFormatting>
  <conditionalFormatting sqref="N13:N16">
    <cfRule type="colorScale" priority="172">
      <colorScale>
        <cfvo type="min"/>
        <cfvo type="max"/>
        <color rgb="FFFCFCFF"/>
        <color rgb="FFF8696B"/>
      </colorScale>
    </cfRule>
  </conditionalFormatting>
  <conditionalFormatting sqref="N13:N16">
    <cfRule type="colorScale" priority="173">
      <colorScale>
        <cfvo type="min"/>
        <cfvo type="max"/>
        <color rgb="FFFF7128"/>
        <color theme="6" tint="0.79998168889431442"/>
      </colorScale>
    </cfRule>
  </conditionalFormatting>
  <conditionalFormatting sqref="O13:P16">
    <cfRule type="colorScale" priority="174">
      <colorScale>
        <cfvo type="min"/>
        <cfvo type="max"/>
        <color rgb="FFFCFCFF"/>
        <color rgb="FFF8696B"/>
      </colorScale>
    </cfRule>
    <cfRule type="colorScale" priority="175">
      <colorScale>
        <cfvo type="min"/>
        <cfvo type="max"/>
        <color rgb="FFFFFF00"/>
        <color rgb="FFFF0000"/>
      </colorScale>
    </cfRule>
    <cfRule type="colorScale" priority="176">
      <colorScale>
        <cfvo type="min"/>
        <cfvo type="max"/>
        <color rgb="FFFCFCFF"/>
        <color rgb="FFF8696B"/>
      </colorScale>
    </cfRule>
  </conditionalFormatting>
  <conditionalFormatting sqref="O13:P16">
    <cfRule type="colorScale" priority="177">
      <colorScale>
        <cfvo type="min"/>
        <cfvo type="max"/>
        <color rgb="FFFCFCFF"/>
        <color rgb="FFF8696B"/>
      </colorScale>
    </cfRule>
  </conditionalFormatting>
  <conditionalFormatting sqref="O13:P16">
    <cfRule type="colorScale" priority="178">
      <colorScale>
        <cfvo type="min"/>
        <cfvo type="max"/>
        <color rgb="FFFF7128"/>
        <color theme="6" tint="0.79998168889431442"/>
      </colorScale>
    </cfRule>
  </conditionalFormatting>
  <conditionalFormatting sqref="N5">
    <cfRule type="colorScale" priority="80">
      <colorScale>
        <cfvo type="min"/>
        <cfvo type="max"/>
        <color rgb="FFFCFCFF"/>
        <color rgb="FFF8696B"/>
      </colorScale>
    </cfRule>
    <cfRule type="colorScale" priority="82">
      <colorScale>
        <cfvo type="min"/>
        <cfvo type="max"/>
        <color rgb="FFFFFF00"/>
        <color rgb="FFFF0000"/>
      </colorScale>
    </cfRule>
    <cfRule type="colorScale" priority="84">
      <colorScale>
        <cfvo type="min"/>
        <cfvo type="max"/>
        <color rgb="FFFCFCFF"/>
        <color rgb="FFF8696B"/>
      </colorScale>
    </cfRule>
  </conditionalFormatting>
  <conditionalFormatting sqref="N5">
    <cfRule type="colorScale" priority="83">
      <colorScale>
        <cfvo type="min"/>
        <cfvo type="max"/>
        <color rgb="FFFCFCFF"/>
        <color rgb="FFF8696B"/>
      </colorScale>
    </cfRule>
  </conditionalFormatting>
  <conditionalFormatting sqref="N5">
    <cfRule type="colorScale" priority="81">
      <colorScale>
        <cfvo type="min"/>
        <cfvo type="max"/>
        <color rgb="FFFF7128"/>
        <color theme="6" tint="0.79998168889431442"/>
      </colorScale>
    </cfRule>
  </conditionalFormatting>
  <conditionalFormatting sqref="O5">
    <cfRule type="colorScale" priority="75">
      <colorScale>
        <cfvo type="min"/>
        <cfvo type="max"/>
        <color rgb="FFFCFCFF"/>
        <color rgb="FFF8696B"/>
      </colorScale>
    </cfRule>
    <cfRule type="colorScale" priority="77">
      <colorScale>
        <cfvo type="min"/>
        <cfvo type="max"/>
        <color rgb="FFFFFF00"/>
        <color rgb="FFFF0000"/>
      </colorScale>
    </cfRule>
    <cfRule type="colorScale" priority="79">
      <colorScale>
        <cfvo type="min"/>
        <cfvo type="max"/>
        <color rgb="FFFCFCFF"/>
        <color rgb="FFF8696B"/>
      </colorScale>
    </cfRule>
  </conditionalFormatting>
  <conditionalFormatting sqref="O5">
    <cfRule type="colorScale" priority="78">
      <colorScale>
        <cfvo type="min"/>
        <cfvo type="max"/>
        <color rgb="FFFCFCFF"/>
        <color rgb="FFF8696B"/>
      </colorScale>
    </cfRule>
  </conditionalFormatting>
  <conditionalFormatting sqref="O5">
    <cfRule type="colorScale" priority="76">
      <colorScale>
        <cfvo type="min"/>
        <cfvo type="max"/>
        <color rgb="FFFF7128"/>
        <color theme="6" tint="0.79998168889431442"/>
      </colorScale>
    </cfRule>
  </conditionalFormatting>
  <conditionalFormatting sqref="N6">
    <cfRule type="colorScale" priority="70">
      <colorScale>
        <cfvo type="min"/>
        <cfvo type="max"/>
        <color rgb="FFFCFCFF"/>
        <color rgb="FFF8696B"/>
      </colorScale>
    </cfRule>
    <cfRule type="colorScale" priority="72">
      <colorScale>
        <cfvo type="min"/>
        <cfvo type="max"/>
        <color rgb="FFFFFF00"/>
        <color rgb="FFFF0000"/>
      </colorScale>
    </cfRule>
    <cfRule type="colorScale" priority="74">
      <colorScale>
        <cfvo type="min"/>
        <cfvo type="max"/>
        <color rgb="FFFCFCFF"/>
        <color rgb="FFF8696B"/>
      </colorScale>
    </cfRule>
  </conditionalFormatting>
  <conditionalFormatting sqref="N6">
    <cfRule type="colorScale" priority="73">
      <colorScale>
        <cfvo type="min"/>
        <cfvo type="max"/>
        <color rgb="FFFCFCFF"/>
        <color rgb="FFF8696B"/>
      </colorScale>
    </cfRule>
  </conditionalFormatting>
  <conditionalFormatting sqref="N6">
    <cfRule type="colorScale" priority="71">
      <colorScale>
        <cfvo type="min"/>
        <cfvo type="max"/>
        <color rgb="FFFF7128"/>
        <color theme="6" tint="0.79998168889431442"/>
      </colorScale>
    </cfRule>
  </conditionalFormatting>
  <conditionalFormatting sqref="O6">
    <cfRule type="colorScale" priority="65">
      <colorScale>
        <cfvo type="min"/>
        <cfvo type="max"/>
        <color rgb="FFFCFCFF"/>
        <color rgb="FFF8696B"/>
      </colorScale>
    </cfRule>
    <cfRule type="colorScale" priority="67">
      <colorScale>
        <cfvo type="min"/>
        <cfvo type="max"/>
        <color rgb="FFFFFF00"/>
        <color rgb="FFFF0000"/>
      </colorScale>
    </cfRule>
    <cfRule type="colorScale" priority="69">
      <colorScale>
        <cfvo type="min"/>
        <cfvo type="max"/>
        <color rgb="FFFCFCFF"/>
        <color rgb="FFF8696B"/>
      </colorScale>
    </cfRule>
  </conditionalFormatting>
  <conditionalFormatting sqref="O6">
    <cfRule type="colorScale" priority="68">
      <colorScale>
        <cfvo type="min"/>
        <cfvo type="max"/>
        <color rgb="FFFCFCFF"/>
        <color rgb="FFF8696B"/>
      </colorScale>
    </cfRule>
  </conditionalFormatting>
  <conditionalFormatting sqref="O6">
    <cfRule type="colorScale" priority="66">
      <colorScale>
        <cfvo type="min"/>
        <cfvo type="max"/>
        <color rgb="FFFF7128"/>
        <color theme="6" tint="0.79998168889431442"/>
      </colorScale>
    </cfRule>
  </conditionalFormatting>
  <conditionalFormatting sqref="N7">
    <cfRule type="colorScale" priority="60">
      <colorScale>
        <cfvo type="min"/>
        <cfvo type="max"/>
        <color rgb="FFFCFCFF"/>
        <color rgb="FFF8696B"/>
      </colorScale>
    </cfRule>
    <cfRule type="colorScale" priority="62">
      <colorScale>
        <cfvo type="min"/>
        <cfvo type="max"/>
        <color rgb="FFFFFF00"/>
        <color rgb="FFFF0000"/>
      </colorScale>
    </cfRule>
    <cfRule type="colorScale" priority="64">
      <colorScale>
        <cfvo type="min"/>
        <cfvo type="max"/>
        <color rgb="FFFCFCFF"/>
        <color rgb="FFF8696B"/>
      </colorScale>
    </cfRule>
  </conditionalFormatting>
  <conditionalFormatting sqref="N7">
    <cfRule type="colorScale" priority="63">
      <colorScale>
        <cfvo type="min"/>
        <cfvo type="max"/>
        <color rgb="FFFCFCFF"/>
        <color rgb="FFF8696B"/>
      </colorScale>
    </cfRule>
  </conditionalFormatting>
  <conditionalFormatting sqref="N7">
    <cfRule type="colorScale" priority="61">
      <colorScale>
        <cfvo type="min"/>
        <cfvo type="max"/>
        <color rgb="FFFF7128"/>
        <color theme="6" tint="0.79998168889431442"/>
      </colorScale>
    </cfRule>
  </conditionalFormatting>
  <conditionalFormatting sqref="O7">
    <cfRule type="colorScale" priority="55">
      <colorScale>
        <cfvo type="min"/>
        <cfvo type="max"/>
        <color rgb="FFFCFCFF"/>
        <color rgb="FFF8696B"/>
      </colorScale>
    </cfRule>
    <cfRule type="colorScale" priority="57">
      <colorScale>
        <cfvo type="min"/>
        <cfvo type="max"/>
        <color rgb="FFFFFF00"/>
        <color rgb="FFFF0000"/>
      </colorScale>
    </cfRule>
    <cfRule type="colorScale" priority="59">
      <colorScale>
        <cfvo type="min"/>
        <cfvo type="max"/>
        <color rgb="FFFCFCFF"/>
        <color rgb="FFF8696B"/>
      </colorScale>
    </cfRule>
  </conditionalFormatting>
  <conditionalFormatting sqref="O7">
    <cfRule type="colorScale" priority="58">
      <colorScale>
        <cfvo type="min"/>
        <cfvo type="max"/>
        <color rgb="FFFCFCFF"/>
        <color rgb="FFF8696B"/>
      </colorScale>
    </cfRule>
  </conditionalFormatting>
  <conditionalFormatting sqref="O7">
    <cfRule type="colorScale" priority="56">
      <colorScale>
        <cfvo type="min"/>
        <cfvo type="max"/>
        <color rgb="FFFF7128"/>
        <color theme="6" tint="0.79998168889431442"/>
      </colorScale>
    </cfRule>
  </conditionalFormatting>
  <conditionalFormatting sqref="N8">
    <cfRule type="colorScale" priority="50">
      <colorScale>
        <cfvo type="min"/>
        <cfvo type="max"/>
        <color rgb="FFFCFCFF"/>
        <color rgb="FFF8696B"/>
      </colorScale>
    </cfRule>
    <cfRule type="colorScale" priority="52">
      <colorScale>
        <cfvo type="min"/>
        <cfvo type="max"/>
        <color rgb="FFFFFF00"/>
        <color rgb="FFFF0000"/>
      </colorScale>
    </cfRule>
    <cfRule type="colorScale" priority="54">
      <colorScale>
        <cfvo type="min"/>
        <cfvo type="max"/>
        <color rgb="FFFCFCFF"/>
        <color rgb="FFF8696B"/>
      </colorScale>
    </cfRule>
  </conditionalFormatting>
  <conditionalFormatting sqref="N8">
    <cfRule type="colorScale" priority="53">
      <colorScale>
        <cfvo type="min"/>
        <cfvo type="max"/>
        <color rgb="FFFCFCFF"/>
        <color rgb="FFF8696B"/>
      </colorScale>
    </cfRule>
  </conditionalFormatting>
  <conditionalFormatting sqref="N8">
    <cfRule type="colorScale" priority="51">
      <colorScale>
        <cfvo type="min"/>
        <cfvo type="max"/>
        <color rgb="FFFF7128"/>
        <color theme="6" tint="0.79998168889431442"/>
      </colorScale>
    </cfRule>
  </conditionalFormatting>
  <conditionalFormatting sqref="O8">
    <cfRule type="colorScale" priority="45">
      <colorScale>
        <cfvo type="min"/>
        <cfvo type="max"/>
        <color rgb="FFFCFCFF"/>
        <color rgb="FFF8696B"/>
      </colorScale>
    </cfRule>
    <cfRule type="colorScale" priority="47">
      <colorScale>
        <cfvo type="min"/>
        <cfvo type="max"/>
        <color rgb="FFFFFF00"/>
        <color rgb="FFFF0000"/>
      </colorScale>
    </cfRule>
    <cfRule type="colorScale" priority="49">
      <colorScale>
        <cfvo type="min"/>
        <cfvo type="max"/>
        <color rgb="FFFCFCFF"/>
        <color rgb="FFF8696B"/>
      </colorScale>
    </cfRule>
  </conditionalFormatting>
  <conditionalFormatting sqref="O8">
    <cfRule type="colorScale" priority="48">
      <colorScale>
        <cfvo type="min"/>
        <cfvo type="max"/>
        <color rgb="FFFCFCFF"/>
        <color rgb="FFF8696B"/>
      </colorScale>
    </cfRule>
  </conditionalFormatting>
  <conditionalFormatting sqref="O8">
    <cfRule type="colorScale" priority="46">
      <colorScale>
        <cfvo type="min"/>
        <cfvo type="max"/>
        <color rgb="FFFF7128"/>
        <color theme="6" tint="0.79998168889431442"/>
      </colorScale>
    </cfRule>
  </conditionalFormatting>
  <conditionalFormatting sqref="N9">
    <cfRule type="colorScale" priority="40">
      <colorScale>
        <cfvo type="min"/>
        <cfvo type="max"/>
        <color rgb="FFFCFCFF"/>
        <color rgb="FFF8696B"/>
      </colorScale>
    </cfRule>
    <cfRule type="colorScale" priority="42">
      <colorScale>
        <cfvo type="min"/>
        <cfvo type="max"/>
        <color rgb="FFFFFF00"/>
        <color rgb="FFFF0000"/>
      </colorScale>
    </cfRule>
    <cfRule type="colorScale" priority="44">
      <colorScale>
        <cfvo type="min"/>
        <cfvo type="max"/>
        <color rgb="FFFCFCFF"/>
        <color rgb="FFF8696B"/>
      </colorScale>
    </cfRule>
  </conditionalFormatting>
  <conditionalFormatting sqref="N9">
    <cfRule type="colorScale" priority="43">
      <colorScale>
        <cfvo type="min"/>
        <cfvo type="max"/>
        <color rgb="FFFCFCFF"/>
        <color rgb="FFF8696B"/>
      </colorScale>
    </cfRule>
  </conditionalFormatting>
  <conditionalFormatting sqref="N9">
    <cfRule type="colorScale" priority="41">
      <colorScale>
        <cfvo type="min"/>
        <cfvo type="max"/>
        <color rgb="FFFF7128"/>
        <color theme="6" tint="0.79998168889431442"/>
      </colorScale>
    </cfRule>
  </conditionalFormatting>
  <conditionalFormatting sqref="O9">
    <cfRule type="colorScale" priority="35">
      <colorScale>
        <cfvo type="min"/>
        <cfvo type="max"/>
        <color rgb="FFFCFCFF"/>
        <color rgb="FFF8696B"/>
      </colorScale>
    </cfRule>
    <cfRule type="colorScale" priority="37">
      <colorScale>
        <cfvo type="min"/>
        <cfvo type="max"/>
        <color rgb="FFFFFF00"/>
        <color rgb="FFFF0000"/>
      </colorScale>
    </cfRule>
    <cfRule type="colorScale" priority="39">
      <colorScale>
        <cfvo type="min"/>
        <cfvo type="max"/>
        <color rgb="FFFCFCFF"/>
        <color rgb="FFF8696B"/>
      </colorScale>
    </cfRule>
  </conditionalFormatting>
  <conditionalFormatting sqref="O9">
    <cfRule type="colorScale" priority="38">
      <colorScale>
        <cfvo type="min"/>
        <cfvo type="max"/>
        <color rgb="FFFCFCFF"/>
        <color rgb="FFF8696B"/>
      </colorScale>
    </cfRule>
  </conditionalFormatting>
  <conditionalFormatting sqref="O9">
    <cfRule type="colorScale" priority="36">
      <colorScale>
        <cfvo type="min"/>
        <cfvo type="max"/>
        <color rgb="FFFF7128"/>
        <color theme="6" tint="0.79998168889431442"/>
      </colorScale>
    </cfRule>
  </conditionalFormatting>
  <conditionalFormatting sqref="N10">
    <cfRule type="colorScale" priority="30">
      <colorScale>
        <cfvo type="min"/>
        <cfvo type="max"/>
        <color rgb="FFFCFCFF"/>
        <color rgb="FFF8696B"/>
      </colorScale>
    </cfRule>
    <cfRule type="colorScale" priority="32">
      <colorScale>
        <cfvo type="min"/>
        <cfvo type="max"/>
        <color rgb="FFFFFF00"/>
        <color rgb="FFFF0000"/>
      </colorScale>
    </cfRule>
    <cfRule type="colorScale" priority="34">
      <colorScale>
        <cfvo type="min"/>
        <cfvo type="max"/>
        <color rgb="FFFCFCFF"/>
        <color rgb="FFF8696B"/>
      </colorScale>
    </cfRule>
  </conditionalFormatting>
  <conditionalFormatting sqref="N10">
    <cfRule type="colorScale" priority="33">
      <colorScale>
        <cfvo type="min"/>
        <cfvo type="max"/>
        <color rgb="FFFCFCFF"/>
        <color rgb="FFF8696B"/>
      </colorScale>
    </cfRule>
  </conditionalFormatting>
  <conditionalFormatting sqref="N10">
    <cfRule type="colorScale" priority="31">
      <colorScale>
        <cfvo type="min"/>
        <cfvo type="max"/>
        <color rgb="FFFF7128"/>
        <color theme="6" tint="0.79998168889431442"/>
      </colorScale>
    </cfRule>
  </conditionalFormatting>
  <conditionalFormatting sqref="O10">
    <cfRule type="colorScale" priority="25">
      <colorScale>
        <cfvo type="min"/>
        <cfvo type="max"/>
        <color rgb="FFFCFCFF"/>
        <color rgb="FFF8696B"/>
      </colorScale>
    </cfRule>
    <cfRule type="colorScale" priority="27">
      <colorScale>
        <cfvo type="min"/>
        <cfvo type="max"/>
        <color rgb="FFFFFF00"/>
        <color rgb="FFFF0000"/>
      </colorScale>
    </cfRule>
    <cfRule type="colorScale" priority="29">
      <colorScale>
        <cfvo type="min"/>
        <cfvo type="max"/>
        <color rgb="FFFCFCFF"/>
        <color rgb="FFF8696B"/>
      </colorScale>
    </cfRule>
  </conditionalFormatting>
  <conditionalFormatting sqref="O10">
    <cfRule type="colorScale" priority="28">
      <colorScale>
        <cfvo type="min"/>
        <cfvo type="max"/>
        <color rgb="FFFCFCFF"/>
        <color rgb="FFF8696B"/>
      </colorScale>
    </cfRule>
  </conditionalFormatting>
  <conditionalFormatting sqref="O10">
    <cfRule type="colorScale" priority="26">
      <colorScale>
        <cfvo type="min"/>
        <cfvo type="max"/>
        <color rgb="FFFF7128"/>
        <color theme="6" tint="0.79998168889431442"/>
      </colorScale>
    </cfRule>
  </conditionalFormatting>
  <conditionalFormatting sqref="N11">
    <cfRule type="colorScale" priority="20">
      <colorScale>
        <cfvo type="min"/>
        <cfvo type="max"/>
        <color rgb="FFFCFCFF"/>
        <color rgb="FFF8696B"/>
      </colorScale>
    </cfRule>
    <cfRule type="colorScale" priority="22">
      <colorScale>
        <cfvo type="min"/>
        <cfvo type="max"/>
        <color rgb="FFFFFF00"/>
        <color rgb="FFFF0000"/>
      </colorScale>
    </cfRule>
    <cfRule type="colorScale" priority="24">
      <colorScale>
        <cfvo type="min"/>
        <cfvo type="max"/>
        <color rgb="FFFCFCFF"/>
        <color rgb="FFF8696B"/>
      </colorScale>
    </cfRule>
  </conditionalFormatting>
  <conditionalFormatting sqref="N11">
    <cfRule type="colorScale" priority="23">
      <colorScale>
        <cfvo type="min"/>
        <cfvo type="max"/>
        <color rgb="FFFCFCFF"/>
        <color rgb="FFF8696B"/>
      </colorScale>
    </cfRule>
  </conditionalFormatting>
  <conditionalFormatting sqref="N11">
    <cfRule type="colorScale" priority="21">
      <colorScale>
        <cfvo type="min"/>
        <cfvo type="max"/>
        <color rgb="FFFF7128"/>
        <color theme="6" tint="0.79998168889431442"/>
      </colorScale>
    </cfRule>
  </conditionalFormatting>
  <conditionalFormatting sqref="O11">
    <cfRule type="colorScale" priority="15">
      <colorScale>
        <cfvo type="min"/>
        <cfvo type="max"/>
        <color rgb="FFFCFCFF"/>
        <color rgb="FFF8696B"/>
      </colorScale>
    </cfRule>
    <cfRule type="colorScale" priority="17">
      <colorScale>
        <cfvo type="min"/>
        <cfvo type="max"/>
        <color rgb="FFFFFF00"/>
        <color rgb="FFFF0000"/>
      </colorScale>
    </cfRule>
    <cfRule type="colorScale" priority="19">
      <colorScale>
        <cfvo type="min"/>
        <cfvo type="max"/>
        <color rgb="FFFCFCFF"/>
        <color rgb="FFF8696B"/>
      </colorScale>
    </cfRule>
  </conditionalFormatting>
  <conditionalFormatting sqref="O11">
    <cfRule type="colorScale" priority="18">
      <colorScale>
        <cfvo type="min"/>
        <cfvo type="max"/>
        <color rgb="FFFCFCFF"/>
        <color rgb="FFF8696B"/>
      </colorScale>
    </cfRule>
  </conditionalFormatting>
  <conditionalFormatting sqref="O11">
    <cfRule type="colorScale" priority="16">
      <colorScale>
        <cfvo type="min"/>
        <cfvo type="max"/>
        <color rgb="FFFF7128"/>
        <color theme="6" tint="0.79998168889431442"/>
      </colorScale>
    </cfRule>
  </conditionalFormatting>
  <conditionalFormatting sqref="N12">
    <cfRule type="colorScale" priority="10">
      <colorScale>
        <cfvo type="min"/>
        <cfvo type="max"/>
        <color rgb="FFFCFCFF"/>
        <color rgb="FFF8696B"/>
      </colorScale>
    </cfRule>
    <cfRule type="colorScale" priority="12">
      <colorScale>
        <cfvo type="min"/>
        <cfvo type="max"/>
        <color rgb="FFFFFF00"/>
        <color rgb="FFFF0000"/>
      </colorScale>
    </cfRule>
    <cfRule type="colorScale" priority="14">
      <colorScale>
        <cfvo type="min"/>
        <cfvo type="max"/>
        <color rgb="FFFCFCFF"/>
        <color rgb="FFF8696B"/>
      </colorScale>
    </cfRule>
  </conditionalFormatting>
  <conditionalFormatting sqref="N12">
    <cfRule type="colorScale" priority="13">
      <colorScale>
        <cfvo type="min"/>
        <cfvo type="max"/>
        <color rgb="FFFCFCFF"/>
        <color rgb="FFF8696B"/>
      </colorScale>
    </cfRule>
  </conditionalFormatting>
  <conditionalFormatting sqref="N12">
    <cfRule type="colorScale" priority="11">
      <colorScale>
        <cfvo type="min"/>
        <cfvo type="max"/>
        <color rgb="FFFF7128"/>
        <color theme="6" tint="0.79998168889431442"/>
      </colorScale>
    </cfRule>
  </conditionalFormatting>
  <conditionalFormatting sqref="O12">
    <cfRule type="colorScale" priority="5">
      <colorScale>
        <cfvo type="min"/>
        <cfvo type="max"/>
        <color rgb="FFFCFCFF"/>
        <color rgb="FFF8696B"/>
      </colorScale>
    </cfRule>
    <cfRule type="colorScale" priority="7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</conditionalFormatting>
  <conditionalFormatting sqref="O12">
    <cfRule type="colorScale" priority="8">
      <colorScale>
        <cfvo type="min"/>
        <cfvo type="max"/>
        <color rgb="FFFCFCFF"/>
        <color rgb="FFF8696B"/>
      </colorScale>
    </cfRule>
  </conditionalFormatting>
  <conditionalFormatting sqref="O12">
    <cfRule type="colorScale" priority="6">
      <colorScale>
        <cfvo type="min"/>
        <cfvo type="max"/>
        <color rgb="FFFF7128"/>
        <color theme="6" tint="0.79998168889431442"/>
      </colorScale>
    </cfRule>
  </conditionalFormatting>
  <conditionalFormatting sqref="D12">
    <cfRule type="cellIs" dxfId="3" priority="2" operator="lessThan">
      <formula>1.5</formula>
    </cfRule>
    <cfRule type="cellIs" dxfId="2" priority="4" operator="lessThan">
      <formula>1.5</formula>
    </cfRule>
  </conditionalFormatting>
  <conditionalFormatting sqref="E12">
    <cfRule type="cellIs" dxfId="1" priority="3" operator="lessThan">
      <formula>1</formula>
    </cfRule>
  </conditionalFormatting>
  <conditionalFormatting sqref="F12">
    <cfRule type="cellIs" dxfId="0" priority="1" operator="lessThan">
      <formula>0.8</formula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C11" sqref="C11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.4257812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31" t="s">
        <v>59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63" t="s">
        <v>53</v>
      </c>
      <c r="P1" s="41">
        <v>43815</v>
      </c>
    </row>
    <row r="2" spans="1:25" ht="54.75" customHeight="1" thickBot="1">
      <c r="C2" s="132" t="s">
        <v>41</v>
      </c>
      <c r="D2" s="133" t="s">
        <v>40</v>
      </c>
      <c r="E2" s="133"/>
      <c r="F2" s="133"/>
      <c r="G2" s="133"/>
      <c r="H2" s="134" t="s">
        <v>39</v>
      </c>
      <c r="I2" s="134"/>
      <c r="J2" s="134"/>
      <c r="K2" s="135" t="s">
        <v>38</v>
      </c>
      <c r="L2" s="135"/>
      <c r="M2" s="135"/>
      <c r="N2" s="136" t="s">
        <v>60</v>
      </c>
      <c r="O2" s="147" t="s">
        <v>61</v>
      </c>
      <c r="P2" s="144" t="s">
        <v>92</v>
      </c>
      <c r="Q2" s="138" t="s">
        <v>37</v>
      </c>
    </row>
    <row r="3" spans="1:25" ht="38.25" customHeight="1" thickBot="1">
      <c r="C3" s="132"/>
      <c r="D3" s="139" t="s">
        <v>36</v>
      </c>
      <c r="E3" s="139" t="s">
        <v>35</v>
      </c>
      <c r="F3" s="139" t="s">
        <v>34</v>
      </c>
      <c r="G3" s="140" t="s">
        <v>29</v>
      </c>
      <c r="H3" s="141" t="s">
        <v>33</v>
      </c>
      <c r="I3" s="132" t="s">
        <v>32</v>
      </c>
      <c r="J3" s="142" t="s">
        <v>29</v>
      </c>
      <c r="K3" s="143" t="s">
        <v>31</v>
      </c>
      <c r="L3" s="132" t="s">
        <v>30</v>
      </c>
      <c r="M3" s="137" t="s">
        <v>29</v>
      </c>
      <c r="N3" s="136"/>
      <c r="O3" s="147"/>
      <c r="P3" s="145"/>
      <c r="Q3" s="138"/>
    </row>
    <row r="4" spans="1:25" ht="36.75" customHeight="1" thickBot="1">
      <c r="C4" s="132"/>
      <c r="D4" s="139"/>
      <c r="E4" s="139"/>
      <c r="F4" s="139"/>
      <c r="G4" s="140"/>
      <c r="H4" s="141"/>
      <c r="I4" s="132"/>
      <c r="J4" s="142"/>
      <c r="K4" s="143"/>
      <c r="L4" s="132"/>
      <c r="M4" s="137"/>
      <c r="N4" s="136"/>
      <c r="O4" s="147"/>
      <c r="P4" s="146"/>
      <c r="Q4" s="13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4" t="s">
        <v>28</v>
      </c>
      <c r="D5" s="47">
        <v>3.45</v>
      </c>
      <c r="E5" s="47">
        <v>3.26</v>
      </c>
      <c r="F5" s="47">
        <v>1.73</v>
      </c>
      <c r="G5" s="47">
        <f t="shared" ref="G5:G20" si="0">(IF(D5&lt;1.5,1,0))+(IF(E5&lt;1,1,0))+(IF(F5&lt;0.8,1,0))</f>
        <v>0</v>
      </c>
      <c r="H5" s="53">
        <v>521102688.88999999</v>
      </c>
      <c r="I5" s="53">
        <v>54849122.340000004</v>
      </c>
      <c r="J5" s="47">
        <f t="shared" ref="J5:J20" si="1">IF(I5&lt;0,1,0)+IF(H5&lt;0,1,0)</f>
        <v>0</v>
      </c>
      <c r="K5" s="51">
        <f t="shared" ref="K5:K20" si="2">SUM(I5/2)</f>
        <v>27424561.170000002</v>
      </c>
      <c r="L5" s="45">
        <f>+H5/K5</f>
        <v>19.001313664046496</v>
      </c>
      <c r="M5" s="43">
        <f>IF(AND(I5&lt;0,H5&lt;0),2,IF(AND(I5&gt;0,H5&gt;0),0,IF(AND(H5&lt;0,I5&gt;0),IF(ABS((H5/(I5/2)))&lt;3,0,IF(ABS((H5/(I5/2)))&gt;6,2,1)),IF(AND(H5&gt;0,I5&lt;0),IF(ABS((H5/(I5/2)))&lt;3,2,IF(ABS((H5/(I5/2)))&gt;6,0,1))))))</f>
        <v>0</v>
      </c>
      <c r="N5" s="46">
        <f t="shared" ref="N5:N20" si="3">SUM(G5+J5+M5)</f>
        <v>0</v>
      </c>
      <c r="O5" s="46">
        <f>ต.ค.62!N5</f>
        <v>0</v>
      </c>
      <c r="P5" s="88">
        <v>72038910.439999998</v>
      </c>
      <c r="Q5" s="53">
        <v>154862578.71000001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4" t="s">
        <v>27</v>
      </c>
      <c r="D6" s="42">
        <v>0.89</v>
      </c>
      <c r="E6" s="42">
        <v>0.84</v>
      </c>
      <c r="F6" s="42">
        <v>0.57999999999999996</v>
      </c>
      <c r="G6" s="55">
        <f t="shared" si="0"/>
        <v>3</v>
      </c>
      <c r="H6" s="68">
        <v>-21555535.050000001</v>
      </c>
      <c r="I6" s="53">
        <v>33063797.870000001</v>
      </c>
      <c r="J6" s="55">
        <f>IF(I6&lt;0,1,0)+IF(H6&lt;0,1,0)</f>
        <v>1</v>
      </c>
      <c r="K6" s="51">
        <f t="shared" si="2"/>
        <v>16531898.935000001</v>
      </c>
      <c r="L6" s="45">
        <f>+H6/K6</f>
        <v>-1.3038753221727217</v>
      </c>
      <c r="M6" s="43">
        <f>IF(AND(I6&lt;0,H6&lt;0),2,IF(AND(I6&gt;0,H6&gt;0),0,IF(AND(H6&lt;0,I6&gt;0),IF(ABS((H6/(I6/2)))&lt;3,0,IF(ABS((H6/(I6/2)))&gt;6,2,1)),IF(AND(H6&gt;0,I6&lt;0),IF(ABS((H6/(I6/2)))&lt;3,2,IF(ABS((H6/(I6/2)))&gt;6,0,1))))))</f>
        <v>0</v>
      </c>
      <c r="N6" s="46">
        <f>SUM(G6+J6+M6)</f>
        <v>4</v>
      </c>
      <c r="O6" s="46">
        <f>ต.ค.62!N6</f>
        <v>4</v>
      </c>
      <c r="P6" s="88">
        <v>39842181.270000003</v>
      </c>
      <c r="Q6" s="68">
        <v>-82567087.480000004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4" t="s">
        <v>26</v>
      </c>
      <c r="D7" s="42">
        <v>1.45</v>
      </c>
      <c r="E7" s="47">
        <v>1.33</v>
      </c>
      <c r="F7" s="47">
        <v>0.99</v>
      </c>
      <c r="G7" s="42">
        <f t="shared" si="0"/>
        <v>1</v>
      </c>
      <c r="H7" s="53">
        <v>12501339.65</v>
      </c>
      <c r="I7" s="53">
        <v>9506485.6600000001</v>
      </c>
      <c r="J7" s="47">
        <f t="shared" si="1"/>
        <v>0</v>
      </c>
      <c r="K7" s="51">
        <f t="shared" si="2"/>
        <v>4753242.83</v>
      </c>
      <c r="L7" s="45">
        <f t="shared" ref="L7:L20" si="4">+H7/K7</f>
        <v>2.6300654305094695</v>
      </c>
      <c r="M7" s="43">
        <f t="shared" ref="M7:M20" si="5">IF(AND(I7&lt;0,H7&lt;0),2,IF(AND(I7&gt;0,H7&gt;0),0,IF(AND(H7&lt;0,I7&gt;0),IF(ABS((H7/(I7/2)))&lt;3,0,IF(ABS((H7/(I7/2)))&gt;6,2,1)),IF(AND(H7&gt;0,I7&lt;0),IF(ABS((H7/(I7/2)))&lt;3,2,IF(ABS((H7/(I7/2)))&gt;6,0,1))))))</f>
        <v>0</v>
      </c>
      <c r="N7" s="46">
        <f t="shared" si="3"/>
        <v>1</v>
      </c>
      <c r="O7" s="46">
        <f>ต.ค.62!N7</f>
        <v>0</v>
      </c>
      <c r="P7" s="88">
        <v>10060571.039999999</v>
      </c>
      <c r="Q7" s="68">
        <v>-389229.86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4" t="s">
        <v>25</v>
      </c>
      <c r="D8" s="47">
        <v>1.83</v>
      </c>
      <c r="E8" s="47">
        <v>1.68</v>
      </c>
      <c r="F8" s="47">
        <v>1.39</v>
      </c>
      <c r="G8" s="66">
        <f t="shared" si="0"/>
        <v>0</v>
      </c>
      <c r="H8" s="53">
        <v>13411794.92</v>
      </c>
      <c r="I8" s="53">
        <v>5141340.34</v>
      </c>
      <c r="J8" s="66">
        <f t="shared" si="1"/>
        <v>0</v>
      </c>
      <c r="K8" s="51">
        <f t="shared" si="2"/>
        <v>2570670.17</v>
      </c>
      <c r="L8" s="45">
        <f t="shared" si="4"/>
        <v>5.2172367643726147</v>
      </c>
      <c r="M8" s="43">
        <f t="shared" si="5"/>
        <v>0</v>
      </c>
      <c r="N8" s="46">
        <f t="shared" si="3"/>
        <v>0</v>
      </c>
      <c r="O8" s="46">
        <f>ต.ค.62!N8</f>
        <v>6</v>
      </c>
      <c r="P8" s="88">
        <v>7236258.9000000004</v>
      </c>
      <c r="Q8" s="53">
        <v>6201583.6900000004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4" t="s">
        <v>24</v>
      </c>
      <c r="D9" s="47">
        <v>2.52</v>
      </c>
      <c r="E9" s="57">
        <v>2.2999999999999998</v>
      </c>
      <c r="F9" s="47">
        <v>1.96</v>
      </c>
      <c r="G9" s="47">
        <f t="shared" si="0"/>
        <v>0</v>
      </c>
      <c r="H9" s="53">
        <v>23834273.960000001</v>
      </c>
      <c r="I9" s="53">
        <v>10660943.27</v>
      </c>
      <c r="J9" s="47">
        <f t="shared" si="1"/>
        <v>0</v>
      </c>
      <c r="K9" s="51">
        <f t="shared" si="2"/>
        <v>5330471.6349999998</v>
      </c>
      <c r="L9" s="45">
        <f t="shared" si="4"/>
        <v>4.4713255396583689</v>
      </c>
      <c r="M9" s="43">
        <f t="shared" si="5"/>
        <v>0</v>
      </c>
      <c r="N9" s="46">
        <f t="shared" si="3"/>
        <v>0</v>
      </c>
      <c r="O9" s="46">
        <f>ต.ค.62!N9</f>
        <v>0</v>
      </c>
      <c r="P9" s="88">
        <v>11523231.890000001</v>
      </c>
      <c r="Q9" s="53">
        <v>15060374.59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5" t="s">
        <v>23</v>
      </c>
      <c r="D10" s="42">
        <v>1.42</v>
      </c>
      <c r="E10" s="47">
        <v>1.34</v>
      </c>
      <c r="F10" s="47">
        <v>1.1299999999999999</v>
      </c>
      <c r="G10" s="42">
        <f t="shared" si="0"/>
        <v>1</v>
      </c>
      <c r="H10" s="53">
        <v>8424006.6999999993</v>
      </c>
      <c r="I10" s="53">
        <v>6112204.9699999997</v>
      </c>
      <c r="J10" s="47">
        <f t="shared" si="1"/>
        <v>0</v>
      </c>
      <c r="K10" s="51">
        <f t="shared" si="2"/>
        <v>3056102.4849999999</v>
      </c>
      <c r="L10" s="45">
        <f t="shared" si="4"/>
        <v>2.7564542554926783</v>
      </c>
      <c r="M10" s="43">
        <f t="shared" si="5"/>
        <v>0</v>
      </c>
      <c r="N10" s="46">
        <f t="shared" si="3"/>
        <v>1</v>
      </c>
      <c r="O10" s="46">
        <f>ต.ค.62!N10</f>
        <v>0</v>
      </c>
      <c r="P10" s="88">
        <v>6683520.0999999996</v>
      </c>
      <c r="Q10" s="53">
        <v>2482803.64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5" t="s">
        <v>22</v>
      </c>
      <c r="D11" s="47">
        <v>1.66</v>
      </c>
      <c r="E11" s="47">
        <v>1.48</v>
      </c>
      <c r="F11" s="47">
        <v>0.98</v>
      </c>
      <c r="G11" s="47">
        <f t="shared" si="0"/>
        <v>0</v>
      </c>
      <c r="H11" s="53">
        <v>31283518.949999999</v>
      </c>
      <c r="I11" s="53">
        <v>17099670.350000001</v>
      </c>
      <c r="J11" s="47">
        <f t="shared" si="1"/>
        <v>0</v>
      </c>
      <c r="K11" s="51">
        <f t="shared" si="2"/>
        <v>8549835.1750000007</v>
      </c>
      <c r="L11" s="45">
        <f t="shared" si="4"/>
        <v>3.6589616419125877</v>
      </c>
      <c r="M11" s="43">
        <f t="shared" si="5"/>
        <v>0</v>
      </c>
      <c r="N11" s="46">
        <f t="shared" si="3"/>
        <v>0</v>
      </c>
      <c r="O11" s="46">
        <f>ต.ค.62!N11</f>
        <v>0</v>
      </c>
      <c r="P11" s="88">
        <v>19666562.91</v>
      </c>
      <c r="Q11" s="68">
        <v>-1193588.46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5" t="s">
        <v>21</v>
      </c>
      <c r="D12" s="42">
        <v>1.49</v>
      </c>
      <c r="E12" s="47">
        <v>1.36</v>
      </c>
      <c r="F12" s="47">
        <v>1.08</v>
      </c>
      <c r="G12" s="42">
        <f t="shared" si="0"/>
        <v>1</v>
      </c>
      <c r="H12" s="53">
        <v>14103868.189999999</v>
      </c>
      <c r="I12" s="53">
        <v>9537079.5199999996</v>
      </c>
      <c r="J12" s="47">
        <f t="shared" si="1"/>
        <v>0</v>
      </c>
      <c r="K12" s="51">
        <f t="shared" si="2"/>
        <v>4768539.76</v>
      </c>
      <c r="L12" s="45">
        <f t="shared" si="4"/>
        <v>2.9576912220188767</v>
      </c>
      <c r="M12" s="43">
        <f t="shared" si="5"/>
        <v>0</v>
      </c>
      <c r="N12" s="46">
        <f t="shared" si="3"/>
        <v>1</v>
      </c>
      <c r="O12" s="46">
        <f>ต.ค.62!N12</f>
        <v>0</v>
      </c>
      <c r="P12" s="88">
        <v>9909082.3100000005</v>
      </c>
      <c r="Q12" s="53">
        <v>2244774.0499999998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5" t="s">
        <v>20</v>
      </c>
      <c r="D13" s="47">
        <v>1.55</v>
      </c>
      <c r="E13" s="47">
        <v>1.47</v>
      </c>
      <c r="F13" s="47">
        <v>1.27</v>
      </c>
      <c r="G13" s="47">
        <f t="shared" si="0"/>
        <v>0</v>
      </c>
      <c r="H13" s="53">
        <v>13924179.23</v>
      </c>
      <c r="I13" s="53">
        <v>11124183.07</v>
      </c>
      <c r="J13" s="47">
        <f t="shared" si="1"/>
        <v>0</v>
      </c>
      <c r="K13" s="51">
        <f t="shared" si="2"/>
        <v>5562091.5350000001</v>
      </c>
      <c r="L13" s="45">
        <f t="shared" si="4"/>
        <v>2.5034070623219256</v>
      </c>
      <c r="M13" s="43">
        <f t="shared" si="5"/>
        <v>0</v>
      </c>
      <c r="N13" s="46">
        <f t="shared" si="3"/>
        <v>0</v>
      </c>
      <c r="O13" s="46">
        <f>ต.ค.62!N13</f>
        <v>0</v>
      </c>
      <c r="P13" s="88">
        <v>12134723.119999999</v>
      </c>
      <c r="Q13" s="53">
        <v>6783296.29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5" t="s">
        <v>19</v>
      </c>
      <c r="D14" s="47">
        <v>2.04</v>
      </c>
      <c r="E14" s="47">
        <v>1.97</v>
      </c>
      <c r="F14" s="47">
        <v>1.56</v>
      </c>
      <c r="G14" s="47">
        <f t="shared" si="0"/>
        <v>0</v>
      </c>
      <c r="H14" s="53">
        <v>20778231.600000001</v>
      </c>
      <c r="I14" s="53">
        <v>11299465.48</v>
      </c>
      <c r="J14" s="47">
        <f t="shared" si="1"/>
        <v>0</v>
      </c>
      <c r="K14" s="51">
        <f t="shared" si="2"/>
        <v>5649732.7400000002</v>
      </c>
      <c r="L14" s="45">
        <f t="shared" si="4"/>
        <v>3.6777370817721193</v>
      </c>
      <c r="M14" s="43">
        <f t="shared" si="5"/>
        <v>0</v>
      </c>
      <c r="N14" s="46">
        <f t="shared" si="3"/>
        <v>0</v>
      </c>
      <c r="O14" s="46">
        <f>ต.ค.62!N14</f>
        <v>0</v>
      </c>
      <c r="P14" s="88">
        <v>11739436.119999999</v>
      </c>
      <c r="Q14" s="53">
        <v>11258824.800000001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5" t="s">
        <v>18</v>
      </c>
      <c r="D15" s="47">
        <v>2.15</v>
      </c>
      <c r="E15" s="47">
        <v>1.98</v>
      </c>
      <c r="F15" s="47">
        <v>1.58</v>
      </c>
      <c r="G15" s="47">
        <f t="shared" si="0"/>
        <v>0</v>
      </c>
      <c r="H15" s="53">
        <v>20658262.27</v>
      </c>
      <c r="I15" s="53">
        <v>12096171.039999999</v>
      </c>
      <c r="J15" s="47">
        <f t="shared" si="1"/>
        <v>0</v>
      </c>
      <c r="K15" s="51">
        <f t="shared" si="2"/>
        <v>6048085.5199999996</v>
      </c>
      <c r="L15" s="45">
        <f t="shared" si="4"/>
        <v>3.4156696696312592</v>
      </c>
      <c r="M15" s="43">
        <f t="shared" si="5"/>
        <v>0</v>
      </c>
      <c r="N15" s="46">
        <f t="shared" si="3"/>
        <v>0</v>
      </c>
      <c r="O15" s="46">
        <f>ต.ค.62!N15</f>
        <v>0</v>
      </c>
      <c r="P15" s="88">
        <v>12929320.859999999</v>
      </c>
      <c r="Q15" s="53">
        <v>10486347.43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5" t="s">
        <v>17</v>
      </c>
      <c r="D16" s="47">
        <v>3.96</v>
      </c>
      <c r="E16" s="47">
        <v>3.13</v>
      </c>
      <c r="F16" s="47">
        <v>2.76</v>
      </c>
      <c r="G16" s="47">
        <f t="shared" si="0"/>
        <v>0</v>
      </c>
      <c r="H16" s="53">
        <v>72655135.930000007</v>
      </c>
      <c r="I16" s="67">
        <v>34316023.299999997</v>
      </c>
      <c r="J16" s="47">
        <f t="shared" si="1"/>
        <v>0</v>
      </c>
      <c r="K16" s="51">
        <f t="shared" si="2"/>
        <v>17158011.649999999</v>
      </c>
      <c r="L16" s="45">
        <f t="shared" si="4"/>
        <v>4.2344729338145664</v>
      </c>
      <c r="M16" s="43">
        <f t="shared" si="5"/>
        <v>0</v>
      </c>
      <c r="N16" s="46">
        <f t="shared" si="3"/>
        <v>0</v>
      </c>
      <c r="O16" s="46">
        <f>ต.ค.62!N16</f>
        <v>0</v>
      </c>
      <c r="P16" s="88">
        <v>23861313.41</v>
      </c>
      <c r="Q16" s="53">
        <v>43354312.090000004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5" t="s">
        <v>16</v>
      </c>
      <c r="D17" s="47">
        <v>2.19</v>
      </c>
      <c r="E17" s="47">
        <v>1.94</v>
      </c>
      <c r="F17" s="47">
        <v>1.71</v>
      </c>
      <c r="G17" s="47">
        <f t="shared" si="0"/>
        <v>0</v>
      </c>
      <c r="H17" s="53">
        <v>7519094.4199999999</v>
      </c>
      <c r="I17" s="53">
        <v>4632482.37</v>
      </c>
      <c r="J17" s="47">
        <f t="shared" si="1"/>
        <v>0</v>
      </c>
      <c r="K17" s="51">
        <f t="shared" si="2"/>
        <v>2316241.1850000001</v>
      </c>
      <c r="L17" s="45">
        <f t="shared" si="4"/>
        <v>3.2462484773579394</v>
      </c>
      <c r="M17" s="43">
        <f t="shared" si="5"/>
        <v>0</v>
      </c>
      <c r="N17" s="46">
        <f t="shared" si="3"/>
        <v>0</v>
      </c>
      <c r="O17" s="46">
        <f>ต.ค.62!N17</f>
        <v>0</v>
      </c>
      <c r="P17" s="88">
        <v>5091262.2300000004</v>
      </c>
      <c r="Q17" s="53">
        <v>4501287.04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5" t="s">
        <v>15</v>
      </c>
      <c r="D18" s="47">
        <v>1.63</v>
      </c>
      <c r="E18" s="47">
        <v>1.52</v>
      </c>
      <c r="F18" s="57">
        <v>1.1000000000000001</v>
      </c>
      <c r="G18" s="47">
        <f t="shared" si="0"/>
        <v>0</v>
      </c>
      <c r="H18" s="53">
        <v>12917910.560000001</v>
      </c>
      <c r="I18" s="53">
        <v>8677024.9299999997</v>
      </c>
      <c r="J18" s="47">
        <f t="shared" si="1"/>
        <v>0</v>
      </c>
      <c r="K18" s="51">
        <f t="shared" si="2"/>
        <v>4338512.4649999999</v>
      </c>
      <c r="L18" s="45">
        <f t="shared" si="4"/>
        <v>2.9774976248685276</v>
      </c>
      <c r="M18" s="43">
        <f t="shared" si="5"/>
        <v>0</v>
      </c>
      <c r="N18" s="46">
        <f t="shared" si="3"/>
        <v>0</v>
      </c>
      <c r="O18" s="46">
        <f>ต.ค.62!N18</f>
        <v>0</v>
      </c>
      <c r="P18" s="88">
        <v>9666455.6899999995</v>
      </c>
      <c r="Q18" s="53">
        <v>2028691.13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5" t="s">
        <v>14</v>
      </c>
      <c r="D19" s="42">
        <v>1.38</v>
      </c>
      <c r="E19" s="47">
        <v>1.26</v>
      </c>
      <c r="F19" s="47">
        <v>0.83</v>
      </c>
      <c r="G19" s="42">
        <f t="shared" si="0"/>
        <v>1</v>
      </c>
      <c r="H19" s="53">
        <v>4901737.28</v>
      </c>
      <c r="I19" s="53">
        <v>9312842.6899999995</v>
      </c>
      <c r="J19" s="47">
        <f t="shared" si="1"/>
        <v>0</v>
      </c>
      <c r="K19" s="51">
        <f t="shared" si="2"/>
        <v>4656421.3449999997</v>
      </c>
      <c r="L19" s="45">
        <f t="shared" si="4"/>
        <v>1.0526833627853325</v>
      </c>
      <c r="M19" s="43">
        <f t="shared" si="5"/>
        <v>0</v>
      </c>
      <c r="N19" s="46">
        <f t="shared" si="3"/>
        <v>1</v>
      </c>
      <c r="O19" s="46">
        <f>ต.ค.62!N19</f>
        <v>1</v>
      </c>
      <c r="P19" s="88">
        <v>10069663.27</v>
      </c>
      <c r="Q19" s="68">
        <v>-2180048.4900000002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4" t="s">
        <v>13</v>
      </c>
      <c r="D20" s="47">
        <v>1.96</v>
      </c>
      <c r="E20" s="47">
        <v>1.83</v>
      </c>
      <c r="F20" s="47">
        <v>1.35</v>
      </c>
      <c r="G20" s="47">
        <f t="shared" si="0"/>
        <v>0</v>
      </c>
      <c r="H20" s="53">
        <v>7499624.7400000002</v>
      </c>
      <c r="I20" s="53">
        <v>2303920.1</v>
      </c>
      <c r="J20" s="47">
        <f t="shared" si="1"/>
        <v>0</v>
      </c>
      <c r="K20" s="44">
        <f t="shared" si="2"/>
        <v>1151960.05</v>
      </c>
      <c r="L20" s="45">
        <f t="shared" si="4"/>
        <v>6.510316690235916</v>
      </c>
      <c r="M20" s="43">
        <f t="shared" si="5"/>
        <v>0</v>
      </c>
      <c r="N20" s="46">
        <f t="shared" si="3"/>
        <v>0</v>
      </c>
      <c r="O20" s="46">
        <f>ต.ค.62!N20</f>
        <v>0</v>
      </c>
      <c r="P20" s="88">
        <v>2979569.43</v>
      </c>
      <c r="Q20" s="53">
        <v>2718333.94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8" t="s">
        <v>5</v>
      </c>
      <c r="M23" s="128"/>
      <c r="N23" s="128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8"/>
      <c r="M24" s="128"/>
      <c r="N24" s="128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8" t="s">
        <v>5</v>
      </c>
      <c r="M25" s="128"/>
      <c r="N25" s="128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8"/>
      <c r="M26" s="128"/>
      <c r="N26" s="128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9" t="s">
        <v>5</v>
      </c>
      <c r="L27" s="129"/>
      <c r="M27" s="52"/>
      <c r="N27" s="5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8" t="s">
        <v>5</v>
      </c>
      <c r="M30" s="128"/>
      <c r="N30" s="128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8"/>
      <c r="M31" s="128"/>
      <c r="N31" s="128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C11" sqref="A11:C11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7" width="21.57031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31" t="s">
        <v>62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90" t="s">
        <v>53</v>
      </c>
      <c r="P1" s="91">
        <v>242178</v>
      </c>
      <c r="Q1" s="41"/>
    </row>
    <row r="2" spans="1:25" ht="54.75" customHeight="1" thickBot="1">
      <c r="C2" s="132" t="s">
        <v>41</v>
      </c>
      <c r="D2" s="133" t="s">
        <v>40</v>
      </c>
      <c r="E2" s="133"/>
      <c r="F2" s="133"/>
      <c r="G2" s="133"/>
      <c r="H2" s="134" t="s">
        <v>39</v>
      </c>
      <c r="I2" s="134"/>
      <c r="J2" s="134"/>
      <c r="K2" s="135" t="s">
        <v>38</v>
      </c>
      <c r="L2" s="135"/>
      <c r="M2" s="135"/>
      <c r="N2" s="136" t="s">
        <v>63</v>
      </c>
      <c r="O2" s="147" t="s">
        <v>64</v>
      </c>
      <c r="P2" s="138" t="s">
        <v>92</v>
      </c>
      <c r="Q2" s="138" t="s">
        <v>37</v>
      </c>
    </row>
    <row r="3" spans="1:25" ht="38.25" customHeight="1" thickBot="1">
      <c r="C3" s="132"/>
      <c r="D3" s="139" t="s">
        <v>36</v>
      </c>
      <c r="E3" s="139" t="s">
        <v>35</v>
      </c>
      <c r="F3" s="139" t="s">
        <v>34</v>
      </c>
      <c r="G3" s="140" t="s">
        <v>29</v>
      </c>
      <c r="H3" s="141" t="s">
        <v>33</v>
      </c>
      <c r="I3" s="132" t="s">
        <v>32</v>
      </c>
      <c r="J3" s="142" t="s">
        <v>29</v>
      </c>
      <c r="K3" s="143" t="s">
        <v>31</v>
      </c>
      <c r="L3" s="132" t="s">
        <v>30</v>
      </c>
      <c r="M3" s="137" t="s">
        <v>29</v>
      </c>
      <c r="N3" s="136"/>
      <c r="O3" s="147"/>
      <c r="P3" s="138"/>
      <c r="Q3" s="138"/>
    </row>
    <row r="4" spans="1:25" ht="36.75" customHeight="1" thickBot="1">
      <c r="C4" s="132"/>
      <c r="D4" s="139"/>
      <c r="E4" s="139"/>
      <c r="F4" s="139"/>
      <c r="G4" s="140"/>
      <c r="H4" s="141"/>
      <c r="I4" s="132"/>
      <c r="J4" s="142"/>
      <c r="K4" s="143"/>
      <c r="L4" s="132"/>
      <c r="M4" s="137"/>
      <c r="N4" s="136"/>
      <c r="O4" s="147"/>
      <c r="P4" s="138"/>
      <c r="Q4" s="13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4" t="s">
        <v>28</v>
      </c>
      <c r="D5" s="69">
        <v>3.48</v>
      </c>
      <c r="E5" s="69">
        <v>3.28</v>
      </c>
      <c r="F5" s="69">
        <v>1.67</v>
      </c>
      <c r="G5" s="69">
        <f t="shared" ref="G5:G20" si="0">(IF(D5&lt;1.5,1,0))+(IF(E5&lt;1,1,0))+(IF(F5&lt;0.8,1,0))</f>
        <v>0</v>
      </c>
      <c r="H5" s="80">
        <v>509373076.98000002</v>
      </c>
      <c r="I5" s="80">
        <v>39390295.880000003</v>
      </c>
      <c r="J5" s="69">
        <f t="shared" ref="J5:J20" si="1">IF(I5&lt;0,1,0)+IF(H5&lt;0,1,0)</f>
        <v>0</v>
      </c>
      <c r="K5" s="70">
        <f t="shared" ref="K5:K17" si="2">SUM(I5/3)</f>
        <v>13130098.626666667</v>
      </c>
      <c r="L5" s="71">
        <f>+H5/K5</f>
        <v>38.794306993664556</v>
      </c>
      <c r="M5" s="72">
        <f>IF(AND(I5&lt;0,H5&lt;0),2,IF(AND(I5&gt;0,H5&gt;0),0,IF(AND(H5&lt;0,I5&gt;0),IF(ABS((H5/(I5/3)))&lt;3,0,IF(ABS((H5/(I5/3)))&gt;6,2,1)),IF(AND(H5&gt;0,I5&lt;0),IF(ABS((H5/(I5/3)))&lt;3,2,IF(ABS((H5/(I5/3)))&gt;6,0,1))))))</f>
        <v>0</v>
      </c>
      <c r="N5" s="73">
        <f t="shared" ref="N5:N20" si="3">SUM(G5+J5+M5)</f>
        <v>0</v>
      </c>
      <c r="O5" s="73">
        <f>พ.ย.62!N5</f>
        <v>0</v>
      </c>
      <c r="P5" s="82">
        <v>65174978.030000001</v>
      </c>
      <c r="Q5" s="80">
        <v>137281934.41999999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4" t="s">
        <v>27</v>
      </c>
      <c r="D6" s="75">
        <v>0.89</v>
      </c>
      <c r="E6" s="75">
        <v>0.83</v>
      </c>
      <c r="F6" s="75">
        <v>0.56999999999999995</v>
      </c>
      <c r="G6" s="74">
        <f t="shared" si="0"/>
        <v>3</v>
      </c>
      <c r="H6" s="81">
        <v>-20019910.48</v>
      </c>
      <c r="I6" s="80">
        <v>23413202.559999999</v>
      </c>
      <c r="J6" s="74">
        <f>IF(I6&lt;0,1,0)+IF(H6&lt;0,1,0)</f>
        <v>1</v>
      </c>
      <c r="K6" s="70">
        <f t="shared" si="2"/>
        <v>7804400.8533333326</v>
      </c>
      <c r="L6" s="71">
        <f>+H6/K6</f>
        <v>-2.5652078687692352</v>
      </c>
      <c r="M6" s="72">
        <f t="shared" ref="M6:M20" si="4">IF(AND(I6&lt;0,H6&lt;0),2,IF(AND(I6&gt;0,H6&gt;0),0,IF(AND(H6&lt;0,I6&gt;0),IF(ABS((H6/(I6/3)))&lt;3,0,IF(ABS((H6/(I6/3)))&gt;6,2,1)),IF(AND(H6&gt;0,I6&lt;0),IF(ABS((H6/(I6/3)))&lt;3,2,IF(ABS((H6/(I6/3)))&gt;6,0,1))))))</f>
        <v>0</v>
      </c>
      <c r="N6" s="73">
        <f>SUM(G6+J6+M6)</f>
        <v>4</v>
      </c>
      <c r="O6" s="73">
        <f>พ.ย.62!N6</f>
        <v>4</v>
      </c>
      <c r="P6" s="82">
        <v>33379470.350000001</v>
      </c>
      <c r="Q6" s="81">
        <v>-76980911.510000005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4" t="s">
        <v>26</v>
      </c>
      <c r="D7" s="75">
        <v>1.35</v>
      </c>
      <c r="E7" s="69">
        <v>1.22</v>
      </c>
      <c r="F7" s="79">
        <v>0.9</v>
      </c>
      <c r="G7" s="75">
        <f t="shared" si="0"/>
        <v>1</v>
      </c>
      <c r="H7" s="80">
        <v>9786857.0299999993</v>
      </c>
      <c r="I7" s="80">
        <v>7166846.1500000004</v>
      </c>
      <c r="J7" s="69">
        <f t="shared" si="1"/>
        <v>0</v>
      </c>
      <c r="K7" s="70">
        <f t="shared" si="2"/>
        <v>2388948.7166666668</v>
      </c>
      <c r="L7" s="71">
        <f t="shared" ref="L7:L20" si="5">+H7/K7</f>
        <v>4.0967212739734888</v>
      </c>
      <c r="M7" s="72">
        <f t="shared" si="4"/>
        <v>0</v>
      </c>
      <c r="N7" s="73">
        <f t="shared" si="3"/>
        <v>1</v>
      </c>
      <c r="O7" s="73">
        <f>พ.ย.62!N7</f>
        <v>1</v>
      </c>
      <c r="P7" s="82">
        <v>7997974.2199999997</v>
      </c>
      <c r="Q7" s="81">
        <v>-2929881.7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4" t="s">
        <v>25</v>
      </c>
      <c r="D8" s="69">
        <v>1.76</v>
      </c>
      <c r="E8" s="69">
        <v>1.59</v>
      </c>
      <c r="F8" s="79">
        <v>1.3</v>
      </c>
      <c r="G8" s="76">
        <f t="shared" si="0"/>
        <v>0</v>
      </c>
      <c r="H8" s="80">
        <v>12509624.720000001</v>
      </c>
      <c r="I8" s="80">
        <v>2899513.55</v>
      </c>
      <c r="J8" s="76">
        <f t="shared" si="1"/>
        <v>0</v>
      </c>
      <c r="K8" s="70">
        <f t="shared" si="2"/>
        <v>966504.5166666666</v>
      </c>
      <c r="L8" s="71">
        <f t="shared" si="5"/>
        <v>12.943162193534155</v>
      </c>
      <c r="M8" s="72">
        <f t="shared" si="4"/>
        <v>0</v>
      </c>
      <c r="N8" s="73">
        <f t="shared" si="3"/>
        <v>0</v>
      </c>
      <c r="O8" s="73">
        <f>พ.ย.62!N8</f>
        <v>0</v>
      </c>
      <c r="P8" s="82">
        <v>6040816.96</v>
      </c>
      <c r="Q8" s="80">
        <v>4877720.8899999997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4" t="s">
        <v>24</v>
      </c>
      <c r="D9" s="69">
        <v>2.16</v>
      </c>
      <c r="E9" s="69">
        <v>1.94</v>
      </c>
      <c r="F9" s="69">
        <v>1.72</v>
      </c>
      <c r="G9" s="69">
        <f t="shared" si="0"/>
        <v>0</v>
      </c>
      <c r="H9" s="80">
        <v>19322713.77</v>
      </c>
      <c r="I9" s="80">
        <v>8451960.5399999991</v>
      </c>
      <c r="J9" s="69">
        <f t="shared" si="1"/>
        <v>0</v>
      </c>
      <c r="K9" s="70">
        <f t="shared" si="2"/>
        <v>2817320.1799999997</v>
      </c>
      <c r="L9" s="71">
        <f t="shared" si="5"/>
        <v>6.8585437704847596</v>
      </c>
      <c r="M9" s="72">
        <f t="shared" si="4"/>
        <v>0</v>
      </c>
      <c r="N9" s="73">
        <f t="shared" si="3"/>
        <v>0</v>
      </c>
      <c r="O9" s="73">
        <f>พ.ย.62!N9</f>
        <v>0</v>
      </c>
      <c r="P9" s="82">
        <v>9745393.4700000007</v>
      </c>
      <c r="Q9" s="80">
        <v>11918893.67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5" t="s">
        <v>23</v>
      </c>
      <c r="D10" s="75">
        <v>1.33</v>
      </c>
      <c r="E10" s="69">
        <v>1.26</v>
      </c>
      <c r="F10" s="69">
        <v>1.06</v>
      </c>
      <c r="G10" s="75">
        <f t="shared" si="0"/>
        <v>1</v>
      </c>
      <c r="H10" s="80">
        <v>6867218.2599999998</v>
      </c>
      <c r="I10" s="80">
        <v>4253583.82</v>
      </c>
      <c r="J10" s="69">
        <f t="shared" si="1"/>
        <v>0</v>
      </c>
      <c r="K10" s="70">
        <f t="shared" si="2"/>
        <v>1417861.2733333334</v>
      </c>
      <c r="L10" s="71">
        <f t="shared" si="5"/>
        <v>4.8433640082823146</v>
      </c>
      <c r="M10" s="72">
        <f t="shared" si="4"/>
        <v>0</v>
      </c>
      <c r="N10" s="73">
        <f t="shared" si="3"/>
        <v>1</v>
      </c>
      <c r="O10" s="73">
        <f>พ.ย.62!N10</f>
        <v>1</v>
      </c>
      <c r="P10" s="82">
        <v>5112311.5199999996</v>
      </c>
      <c r="Q10" s="80">
        <v>1130720.17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5" t="s">
        <v>22</v>
      </c>
      <c r="D11" s="69">
        <v>1.63</v>
      </c>
      <c r="E11" s="69">
        <v>1.46</v>
      </c>
      <c r="F11" s="69">
        <v>0.95</v>
      </c>
      <c r="G11" s="69">
        <f t="shared" si="0"/>
        <v>0</v>
      </c>
      <c r="H11" s="80">
        <v>31399201.82</v>
      </c>
      <c r="I11" s="80">
        <v>16982846.600000001</v>
      </c>
      <c r="J11" s="69">
        <f t="shared" si="1"/>
        <v>0</v>
      </c>
      <c r="K11" s="70">
        <f t="shared" si="2"/>
        <v>5660948.8666666672</v>
      </c>
      <c r="L11" s="71">
        <f t="shared" si="5"/>
        <v>5.5466322977915841</v>
      </c>
      <c r="M11" s="72">
        <f t="shared" si="4"/>
        <v>0</v>
      </c>
      <c r="N11" s="73">
        <f t="shared" si="3"/>
        <v>0</v>
      </c>
      <c r="O11" s="73">
        <f>พ.ย.62!N11</f>
        <v>0</v>
      </c>
      <c r="P11" s="82">
        <v>19713204.879999999</v>
      </c>
      <c r="Q11" s="81">
        <v>-2585067.6800000002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5" t="s">
        <v>21</v>
      </c>
      <c r="D12" s="75">
        <v>1.47</v>
      </c>
      <c r="E12" s="69">
        <v>1.34</v>
      </c>
      <c r="F12" s="69">
        <v>1.02</v>
      </c>
      <c r="G12" s="75">
        <f t="shared" si="0"/>
        <v>1</v>
      </c>
      <c r="H12" s="80">
        <v>12529125.529999999</v>
      </c>
      <c r="I12" s="80">
        <v>7818148.9699999997</v>
      </c>
      <c r="J12" s="69">
        <f t="shared" si="1"/>
        <v>0</v>
      </c>
      <c r="K12" s="70">
        <f t="shared" si="2"/>
        <v>2606049.6566666667</v>
      </c>
      <c r="L12" s="71">
        <f t="shared" si="5"/>
        <v>4.8077079030127505</v>
      </c>
      <c r="M12" s="72">
        <f t="shared" si="4"/>
        <v>0</v>
      </c>
      <c r="N12" s="73">
        <f t="shared" si="3"/>
        <v>1</v>
      </c>
      <c r="O12" s="73">
        <f>พ.ย.62!N12</f>
        <v>1</v>
      </c>
      <c r="P12" s="82">
        <v>8376463.7300000004</v>
      </c>
      <c r="Q12" s="80">
        <v>632594.67000000004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5" t="s">
        <v>20</v>
      </c>
      <c r="D13" s="75">
        <v>1.42</v>
      </c>
      <c r="E13" s="69">
        <v>1.33</v>
      </c>
      <c r="F13" s="69">
        <v>1.1599999999999999</v>
      </c>
      <c r="G13" s="75">
        <f t="shared" si="0"/>
        <v>1</v>
      </c>
      <c r="H13" s="80">
        <v>11350434.23</v>
      </c>
      <c r="I13" s="80">
        <v>8072614.7300000004</v>
      </c>
      <c r="J13" s="69">
        <f t="shared" si="1"/>
        <v>0</v>
      </c>
      <c r="K13" s="70">
        <f t="shared" si="2"/>
        <v>2690871.5766666667</v>
      </c>
      <c r="L13" s="71">
        <f t="shared" si="5"/>
        <v>4.2181255799878858</v>
      </c>
      <c r="M13" s="72">
        <f t="shared" si="4"/>
        <v>0</v>
      </c>
      <c r="N13" s="73">
        <f t="shared" si="3"/>
        <v>1</v>
      </c>
      <c r="O13" s="73">
        <f>พ.ย.62!N13</f>
        <v>0</v>
      </c>
      <c r="P13" s="82">
        <v>9588582.0899999999</v>
      </c>
      <c r="Q13" s="80">
        <v>4327734.6500000004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5" t="s">
        <v>19</v>
      </c>
      <c r="D14" s="69">
        <v>1.92</v>
      </c>
      <c r="E14" s="69">
        <v>1.82</v>
      </c>
      <c r="F14" s="69">
        <v>1.44</v>
      </c>
      <c r="G14" s="69">
        <f t="shared" si="0"/>
        <v>0</v>
      </c>
      <c r="H14" s="80">
        <v>19905322.960000001</v>
      </c>
      <c r="I14" s="80">
        <v>10064725.689999999</v>
      </c>
      <c r="J14" s="69">
        <f t="shared" si="1"/>
        <v>0</v>
      </c>
      <c r="K14" s="70">
        <f t="shared" si="2"/>
        <v>3354908.563333333</v>
      </c>
      <c r="L14" s="71">
        <f t="shared" si="5"/>
        <v>5.9331938812134686</v>
      </c>
      <c r="M14" s="72">
        <f t="shared" si="4"/>
        <v>0</v>
      </c>
      <c r="N14" s="73">
        <f t="shared" si="3"/>
        <v>0</v>
      </c>
      <c r="O14" s="73">
        <f>พ.ย.62!N14</f>
        <v>0</v>
      </c>
      <c r="P14" s="82">
        <v>10724681.65</v>
      </c>
      <c r="Q14" s="80">
        <v>9532368.0899999999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5" t="s">
        <v>18</v>
      </c>
      <c r="D15" s="79">
        <v>2</v>
      </c>
      <c r="E15" s="69">
        <v>1.83</v>
      </c>
      <c r="F15" s="69">
        <v>1.45</v>
      </c>
      <c r="G15" s="69">
        <f t="shared" si="0"/>
        <v>0</v>
      </c>
      <c r="H15" s="80">
        <v>18641809.620000001</v>
      </c>
      <c r="I15" s="80">
        <v>9749710.8499999996</v>
      </c>
      <c r="J15" s="69">
        <f t="shared" si="1"/>
        <v>0</v>
      </c>
      <c r="K15" s="70">
        <f t="shared" si="2"/>
        <v>3249903.6166666667</v>
      </c>
      <c r="L15" s="71">
        <f t="shared" si="5"/>
        <v>5.7361115340153912</v>
      </c>
      <c r="M15" s="72">
        <f t="shared" si="4"/>
        <v>0</v>
      </c>
      <c r="N15" s="73">
        <f t="shared" si="3"/>
        <v>0</v>
      </c>
      <c r="O15" s="73">
        <f>พ.ย.62!N15</f>
        <v>0</v>
      </c>
      <c r="P15" s="82">
        <v>11004435.58</v>
      </c>
      <c r="Q15" s="80">
        <v>8354535.3600000003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5" t="s">
        <v>17</v>
      </c>
      <c r="D16" s="69">
        <v>3.58</v>
      </c>
      <c r="E16" s="69">
        <v>2.78</v>
      </c>
      <c r="F16" s="69">
        <v>2.46</v>
      </c>
      <c r="G16" s="69">
        <f t="shared" si="0"/>
        <v>0</v>
      </c>
      <c r="H16" s="80">
        <v>68527841.730000004</v>
      </c>
      <c r="I16" s="80">
        <v>29859071.109999999</v>
      </c>
      <c r="J16" s="69">
        <f t="shared" si="1"/>
        <v>0</v>
      </c>
      <c r="K16" s="70">
        <f t="shared" si="2"/>
        <v>9953023.7033333331</v>
      </c>
      <c r="L16" s="71">
        <f t="shared" si="5"/>
        <v>6.88512795433709</v>
      </c>
      <c r="M16" s="72">
        <f t="shared" si="4"/>
        <v>0</v>
      </c>
      <c r="N16" s="73">
        <f t="shared" si="3"/>
        <v>0</v>
      </c>
      <c r="O16" s="73">
        <f>พ.ย.62!N16</f>
        <v>0</v>
      </c>
      <c r="P16" s="82">
        <v>20731172.940000001</v>
      </c>
      <c r="Q16" s="80">
        <v>38920270.049999997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5" t="s">
        <v>16</v>
      </c>
      <c r="D17" s="69">
        <v>2.2599999999999998</v>
      </c>
      <c r="E17" s="69">
        <v>1.95</v>
      </c>
      <c r="F17" s="69">
        <v>1.71</v>
      </c>
      <c r="G17" s="69">
        <f t="shared" si="0"/>
        <v>0</v>
      </c>
      <c r="H17" s="80">
        <v>6951571.2599999998</v>
      </c>
      <c r="I17" s="80">
        <v>3794334.57</v>
      </c>
      <c r="J17" s="69">
        <f t="shared" si="1"/>
        <v>0</v>
      </c>
      <c r="K17" s="70">
        <f t="shared" si="2"/>
        <v>1264778.19</v>
      </c>
      <c r="L17" s="71">
        <f t="shared" si="5"/>
        <v>5.4962769875087742</v>
      </c>
      <c r="M17" s="72">
        <f t="shared" si="4"/>
        <v>0</v>
      </c>
      <c r="N17" s="73">
        <f t="shared" si="3"/>
        <v>0</v>
      </c>
      <c r="O17" s="73">
        <f>พ.ย.62!N17</f>
        <v>0</v>
      </c>
      <c r="P17" s="82">
        <v>4484295.4800000004</v>
      </c>
      <c r="Q17" s="80">
        <v>3879581.94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5" t="s">
        <v>15</v>
      </c>
      <c r="D18" s="69">
        <v>1.53</v>
      </c>
      <c r="E18" s="69">
        <v>1.53</v>
      </c>
      <c r="F18" s="69">
        <v>0.99</v>
      </c>
      <c r="G18" s="69">
        <f t="shared" si="0"/>
        <v>0</v>
      </c>
      <c r="H18" s="80">
        <v>11043746.050000001</v>
      </c>
      <c r="I18" s="80">
        <v>6307467.9900000002</v>
      </c>
      <c r="J18" s="69">
        <f t="shared" si="1"/>
        <v>0</v>
      </c>
      <c r="K18" s="70">
        <f>SUM(I18/3)</f>
        <v>2102489.33</v>
      </c>
      <c r="L18" s="71">
        <f t="shared" si="5"/>
        <v>5.2527001647137972</v>
      </c>
      <c r="M18" s="72">
        <f t="shared" si="4"/>
        <v>0</v>
      </c>
      <c r="N18" s="73">
        <f t="shared" si="3"/>
        <v>0</v>
      </c>
      <c r="O18" s="73">
        <f>พ.ย.62!N18</f>
        <v>0</v>
      </c>
      <c r="P18" s="82">
        <v>8230111.1399999997</v>
      </c>
      <c r="Q18" s="81">
        <v>-257447.64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5" t="s">
        <v>14</v>
      </c>
      <c r="D19" s="75">
        <v>1.29</v>
      </c>
      <c r="E19" s="69">
        <v>1.1499999999999999</v>
      </c>
      <c r="F19" s="75">
        <v>0.72</v>
      </c>
      <c r="G19" s="75">
        <f t="shared" si="0"/>
        <v>2</v>
      </c>
      <c r="H19" s="61">
        <v>3881770.93</v>
      </c>
      <c r="I19" s="61">
        <v>8242174.2300000004</v>
      </c>
      <c r="J19" s="69">
        <f t="shared" si="1"/>
        <v>0</v>
      </c>
      <c r="K19" s="70">
        <f>SUM(I19/3)</f>
        <v>2747391.41</v>
      </c>
      <c r="L19" s="71">
        <f t="shared" si="5"/>
        <v>1.4128933052171113</v>
      </c>
      <c r="M19" s="72">
        <f t="shared" si="4"/>
        <v>0</v>
      </c>
      <c r="N19" s="73">
        <f t="shared" si="3"/>
        <v>2</v>
      </c>
      <c r="O19" s="73">
        <f>พ.ย.62!N19</f>
        <v>1</v>
      </c>
      <c r="P19" s="82">
        <v>9351380.4600000009</v>
      </c>
      <c r="Q19" s="81">
        <v>-3787434.76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4" t="s">
        <v>13</v>
      </c>
      <c r="D20" s="69">
        <v>1.77</v>
      </c>
      <c r="E20" s="69">
        <v>1.63</v>
      </c>
      <c r="F20" s="69">
        <v>1.1399999999999999</v>
      </c>
      <c r="G20" s="69">
        <f t="shared" si="0"/>
        <v>0</v>
      </c>
      <c r="H20" s="61">
        <v>6015069.5800000001</v>
      </c>
      <c r="I20" s="61">
        <v>576662.64</v>
      </c>
      <c r="J20" s="69">
        <f t="shared" si="1"/>
        <v>0</v>
      </c>
      <c r="K20" s="77">
        <f>SUM(I20/3)</f>
        <v>192220.88</v>
      </c>
      <c r="L20" s="71">
        <f t="shared" si="5"/>
        <v>31.292487996101151</v>
      </c>
      <c r="M20" s="72">
        <f t="shared" si="4"/>
        <v>0</v>
      </c>
      <c r="N20" s="73">
        <f t="shared" si="3"/>
        <v>0</v>
      </c>
      <c r="O20" s="73">
        <f>พ.ย.62!N20</f>
        <v>0</v>
      </c>
      <c r="P20" s="78">
        <v>1604722.3</v>
      </c>
      <c r="Q20" s="61">
        <v>1083998.1399999999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8" t="s">
        <v>5</v>
      </c>
      <c r="M23" s="128"/>
      <c r="N23" s="128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8"/>
      <c r="M24" s="128"/>
      <c r="N24" s="128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8" t="s">
        <v>5</v>
      </c>
      <c r="M25" s="128"/>
      <c r="N25" s="128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8"/>
      <c r="M26" s="128"/>
      <c r="N26" s="128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9" t="s">
        <v>5</v>
      </c>
      <c r="L27" s="129"/>
      <c r="M27" s="62"/>
      <c r="N27" s="6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8" t="s">
        <v>5</v>
      </c>
      <c r="M30" s="128"/>
      <c r="N30" s="128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8"/>
      <c r="M31" s="128"/>
      <c r="N31" s="128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C11" sqref="C11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19.14062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31" t="s">
        <v>65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63" t="s">
        <v>53</v>
      </c>
      <c r="P1" s="92">
        <v>242205</v>
      </c>
      <c r="Q1" s="41"/>
    </row>
    <row r="2" spans="1:25" ht="54.75" customHeight="1" thickBot="1">
      <c r="C2" s="132" t="s">
        <v>41</v>
      </c>
      <c r="D2" s="133" t="s">
        <v>40</v>
      </c>
      <c r="E2" s="133"/>
      <c r="F2" s="133"/>
      <c r="G2" s="133"/>
      <c r="H2" s="134" t="s">
        <v>39</v>
      </c>
      <c r="I2" s="134"/>
      <c r="J2" s="134"/>
      <c r="K2" s="135" t="s">
        <v>38</v>
      </c>
      <c r="L2" s="135"/>
      <c r="M2" s="135"/>
      <c r="N2" s="136" t="s">
        <v>66</v>
      </c>
      <c r="O2" s="147" t="s">
        <v>67</v>
      </c>
      <c r="P2" s="144" t="s">
        <v>92</v>
      </c>
      <c r="Q2" s="138" t="s">
        <v>37</v>
      </c>
    </row>
    <row r="3" spans="1:25" ht="38.25" customHeight="1" thickBot="1">
      <c r="C3" s="132"/>
      <c r="D3" s="139" t="s">
        <v>36</v>
      </c>
      <c r="E3" s="139" t="s">
        <v>35</v>
      </c>
      <c r="F3" s="139" t="s">
        <v>34</v>
      </c>
      <c r="G3" s="140" t="s">
        <v>29</v>
      </c>
      <c r="H3" s="141" t="s">
        <v>33</v>
      </c>
      <c r="I3" s="132" t="s">
        <v>32</v>
      </c>
      <c r="J3" s="142" t="s">
        <v>29</v>
      </c>
      <c r="K3" s="143" t="s">
        <v>31</v>
      </c>
      <c r="L3" s="132" t="s">
        <v>30</v>
      </c>
      <c r="M3" s="137" t="s">
        <v>29</v>
      </c>
      <c r="N3" s="136"/>
      <c r="O3" s="147"/>
      <c r="P3" s="145"/>
      <c r="Q3" s="138"/>
    </row>
    <row r="4" spans="1:25" ht="36.75" customHeight="1" thickBot="1">
      <c r="C4" s="132"/>
      <c r="D4" s="139"/>
      <c r="E4" s="139"/>
      <c r="F4" s="139"/>
      <c r="G4" s="140"/>
      <c r="H4" s="141"/>
      <c r="I4" s="132"/>
      <c r="J4" s="142"/>
      <c r="K4" s="143"/>
      <c r="L4" s="132"/>
      <c r="M4" s="137"/>
      <c r="N4" s="136"/>
      <c r="O4" s="147"/>
      <c r="P4" s="146"/>
      <c r="Q4" s="13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4" t="s">
        <v>28</v>
      </c>
      <c r="D5" s="47">
        <v>3.41</v>
      </c>
      <c r="E5" s="47">
        <v>3.24</v>
      </c>
      <c r="F5" s="47">
        <v>1.48</v>
      </c>
      <c r="G5" s="47">
        <f t="shared" ref="G5:G20" si="0">(IF(D5&lt;1.5,1,0))+(IF(E5&lt;1,1,0))+(IF(F5&lt;0.8,1,0))</f>
        <v>0</v>
      </c>
      <c r="H5" s="53">
        <v>514872136.81999999</v>
      </c>
      <c r="I5" s="53">
        <v>39152628.560000002</v>
      </c>
      <c r="J5" s="47">
        <f t="shared" ref="J5:J20" si="1">IF(I5&lt;0,1,0)+IF(H5&lt;0,1,0)</f>
        <v>0</v>
      </c>
      <c r="K5" s="51">
        <f t="shared" ref="K5:K20" si="2">SUM(I5/4)</f>
        <v>9788157.1400000006</v>
      </c>
      <c r="L5" s="45">
        <f>+H5/K5</f>
        <v>52.601539743976765</v>
      </c>
      <c r="M5" s="43">
        <f>IF(AND(I5&lt;0,H5&lt;0),2,IF(AND(I5&gt;0,H5&gt;0),0,IF(AND(H5&lt;0,I5&gt;0),IF(ABS((H5/(I5/4)))&lt;3,0,IF(ABS((H5/(I5/4)))&gt;6,2,1)),IF(AND(H5&gt;0,I5&lt;0),IF(ABS((H5/(I5/4)))&lt;3,2,IF(ABS((H5/(I5/4)))&gt;6,0,1))))))</f>
        <v>0</v>
      </c>
      <c r="N5" s="46">
        <f t="shared" ref="N5:N20" si="3">SUM(G5+J5+M5)</f>
        <v>0</v>
      </c>
      <c r="O5" s="46">
        <f>ธ.ค.62!N5</f>
        <v>0</v>
      </c>
      <c r="P5" s="53">
        <v>73532204.760000005</v>
      </c>
      <c r="Q5" s="53">
        <v>101740813.38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4" t="s">
        <v>27</v>
      </c>
      <c r="D6" s="93">
        <v>0.84</v>
      </c>
      <c r="E6" s="93">
        <v>0.78</v>
      </c>
      <c r="F6" s="93">
        <v>0.53</v>
      </c>
      <c r="G6" s="55">
        <f t="shared" si="0"/>
        <v>3</v>
      </c>
      <c r="H6" s="94">
        <v>-28848021.190000001</v>
      </c>
      <c r="I6" s="53">
        <v>14862293.039999999</v>
      </c>
      <c r="J6" s="55">
        <f>IF(I6&lt;0,1,0)+IF(H6&lt;0,1,0)</f>
        <v>1</v>
      </c>
      <c r="K6" s="51">
        <f t="shared" si="2"/>
        <v>3715573.26</v>
      </c>
      <c r="L6" s="45">
        <f>+H6/K6</f>
        <v>-7.764083540099544</v>
      </c>
      <c r="M6" s="93">
        <f t="shared" ref="M6:M20" si="4">IF(AND(I6&lt;0,H6&lt;0),2,IF(AND(I6&gt;0,H6&gt;0),0,IF(AND(H6&lt;0,I6&gt;0),IF(ABS((H6/(I6/4)))&lt;3,0,IF(ABS((H6/(I6/4)))&gt;6,2,1)),IF(AND(H6&gt;0,I6&lt;0),IF(ABS((H6/(I6/4)))&lt;3,2,IF(ABS((H6/(I6/4)))&gt;6,0,1))))))</f>
        <v>2</v>
      </c>
      <c r="N6" s="46">
        <f>SUM(G6+J6+M6)</f>
        <v>6</v>
      </c>
      <c r="O6" s="46">
        <f>ธ.ค.62!N6</f>
        <v>4</v>
      </c>
      <c r="P6" s="53">
        <v>28628238.559999999</v>
      </c>
      <c r="Q6" s="94">
        <v>-83868923.599999994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4" t="s">
        <v>26</v>
      </c>
      <c r="D7" s="93">
        <v>1.28</v>
      </c>
      <c r="E7" s="47">
        <v>1.1399999999999999</v>
      </c>
      <c r="F7" s="47">
        <v>0.83</v>
      </c>
      <c r="G7" s="42">
        <f t="shared" si="0"/>
        <v>1</v>
      </c>
      <c r="H7" s="53">
        <v>7676667.04</v>
      </c>
      <c r="I7" s="53">
        <v>5362102.21</v>
      </c>
      <c r="J7" s="47">
        <f t="shared" si="1"/>
        <v>0</v>
      </c>
      <c r="K7" s="51">
        <f t="shared" si="2"/>
        <v>1340525.5525</v>
      </c>
      <c r="L7" s="45">
        <f t="shared" ref="L7:L20" si="5">+H7/K7</f>
        <v>5.7266100043251509</v>
      </c>
      <c r="M7" s="43">
        <f t="shared" si="4"/>
        <v>0</v>
      </c>
      <c r="N7" s="46">
        <f t="shared" si="3"/>
        <v>1</v>
      </c>
      <c r="O7" s="46">
        <f>ธ.ค.62!N7</f>
        <v>1</v>
      </c>
      <c r="P7" s="53">
        <v>6470272.9699999997</v>
      </c>
      <c r="Q7" s="94">
        <v>-4823304.9000000004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4" t="s">
        <v>25</v>
      </c>
      <c r="D8" s="47">
        <v>2.15</v>
      </c>
      <c r="E8" s="47">
        <v>1.92</v>
      </c>
      <c r="F8" s="47">
        <v>1.57</v>
      </c>
      <c r="G8" s="66">
        <f t="shared" si="0"/>
        <v>0</v>
      </c>
      <c r="H8" s="53">
        <v>14521313.279999999</v>
      </c>
      <c r="I8" s="94">
        <v>-30469.21</v>
      </c>
      <c r="J8" s="95">
        <f t="shared" si="1"/>
        <v>1</v>
      </c>
      <c r="K8" s="96">
        <f t="shared" si="2"/>
        <v>-7617.3024999999998</v>
      </c>
      <c r="L8" s="45">
        <f t="shared" si="5"/>
        <v>-1906.3590135746874</v>
      </c>
      <c r="M8" s="43">
        <f t="shared" si="4"/>
        <v>0</v>
      </c>
      <c r="N8" s="46">
        <f t="shared" si="3"/>
        <v>1</v>
      </c>
      <c r="O8" s="46">
        <f>ธ.ค.62!N8</f>
        <v>0</v>
      </c>
      <c r="P8" s="53">
        <v>4157220.06</v>
      </c>
      <c r="Q8" s="53">
        <v>7192969.3200000003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4" t="s">
        <v>24</v>
      </c>
      <c r="D9" s="57">
        <v>2.2000000000000002</v>
      </c>
      <c r="E9" s="47">
        <v>1.95</v>
      </c>
      <c r="F9" s="57">
        <v>1.7</v>
      </c>
      <c r="G9" s="47">
        <f t="shared" si="0"/>
        <v>0</v>
      </c>
      <c r="H9" s="53">
        <v>18943535.02</v>
      </c>
      <c r="I9" s="53">
        <v>7298776.9800000004</v>
      </c>
      <c r="J9" s="47">
        <f t="shared" si="1"/>
        <v>0</v>
      </c>
      <c r="K9" s="51">
        <f t="shared" si="2"/>
        <v>1824694.2450000001</v>
      </c>
      <c r="L9" s="45">
        <f t="shared" si="5"/>
        <v>10.381758517575639</v>
      </c>
      <c r="M9" s="43">
        <f t="shared" si="4"/>
        <v>0</v>
      </c>
      <c r="N9" s="46">
        <f t="shared" si="3"/>
        <v>0</v>
      </c>
      <c r="O9" s="46">
        <f>ธ.ค.62!N9</f>
        <v>0</v>
      </c>
      <c r="P9" s="53">
        <v>9023354.2200000007</v>
      </c>
      <c r="Q9" s="53">
        <v>10979863.060000001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5" t="s">
        <v>23</v>
      </c>
      <c r="D10" s="93">
        <v>1.27</v>
      </c>
      <c r="E10" s="57">
        <v>1.2</v>
      </c>
      <c r="F10" s="47">
        <v>1.03</v>
      </c>
      <c r="G10" s="42">
        <f t="shared" si="0"/>
        <v>1</v>
      </c>
      <c r="H10" s="53">
        <v>5632886.6900000004</v>
      </c>
      <c r="I10" s="53">
        <v>2814946.3</v>
      </c>
      <c r="J10" s="47">
        <f t="shared" si="1"/>
        <v>0</v>
      </c>
      <c r="K10" s="51">
        <f t="shared" si="2"/>
        <v>703736.57499999995</v>
      </c>
      <c r="L10" s="45">
        <f t="shared" si="5"/>
        <v>8.0042545607353155</v>
      </c>
      <c r="M10" s="43">
        <f t="shared" si="4"/>
        <v>0</v>
      </c>
      <c r="N10" s="46">
        <f t="shared" si="3"/>
        <v>1</v>
      </c>
      <c r="O10" s="46">
        <f>ธ.ค.62!N10</f>
        <v>1</v>
      </c>
      <c r="P10" s="53">
        <v>3834080.34</v>
      </c>
      <c r="Q10" s="53">
        <v>477736.57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5" t="s">
        <v>22</v>
      </c>
      <c r="D11" s="47">
        <v>1.58</v>
      </c>
      <c r="E11" s="47">
        <v>1.39</v>
      </c>
      <c r="F11" s="47">
        <v>0.95</v>
      </c>
      <c r="G11" s="47">
        <f t="shared" si="0"/>
        <v>0</v>
      </c>
      <c r="H11" s="53">
        <v>28766943.190000001</v>
      </c>
      <c r="I11" s="53">
        <v>14196153.550000001</v>
      </c>
      <c r="J11" s="47">
        <f t="shared" si="1"/>
        <v>0</v>
      </c>
      <c r="K11" s="51">
        <f t="shared" si="2"/>
        <v>3549038.3875000002</v>
      </c>
      <c r="L11" s="45">
        <f t="shared" si="5"/>
        <v>8.1055598866778951</v>
      </c>
      <c r="M11" s="43">
        <f t="shared" si="4"/>
        <v>0</v>
      </c>
      <c r="N11" s="46">
        <f t="shared" si="3"/>
        <v>0</v>
      </c>
      <c r="O11" s="46">
        <f>ธ.ค.62!N11</f>
        <v>0</v>
      </c>
      <c r="P11" s="53">
        <v>17089977.550000001</v>
      </c>
      <c r="Q11" s="94">
        <v>-2994270.33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5" t="s">
        <v>21</v>
      </c>
      <c r="D12" s="93">
        <v>1.37</v>
      </c>
      <c r="E12" s="47">
        <v>1.23</v>
      </c>
      <c r="F12" s="47">
        <v>0.89</v>
      </c>
      <c r="G12" s="42">
        <f t="shared" si="0"/>
        <v>1</v>
      </c>
      <c r="H12" s="53">
        <v>10839660.35</v>
      </c>
      <c r="I12" s="53">
        <v>6220849.2699999996</v>
      </c>
      <c r="J12" s="47">
        <f t="shared" si="1"/>
        <v>0</v>
      </c>
      <c r="K12" s="51">
        <f t="shared" si="2"/>
        <v>1555212.3174999999</v>
      </c>
      <c r="L12" s="45">
        <f t="shared" si="5"/>
        <v>6.9698910097527573</v>
      </c>
      <c r="M12" s="43">
        <f t="shared" si="4"/>
        <v>0</v>
      </c>
      <c r="N12" s="46">
        <f t="shared" si="3"/>
        <v>1</v>
      </c>
      <c r="O12" s="46">
        <f>ธ.ค.62!N12</f>
        <v>1</v>
      </c>
      <c r="P12" s="53">
        <v>6969945.6699999999</v>
      </c>
      <c r="Q12" s="94">
        <v>-3093859.76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5" t="s">
        <v>20</v>
      </c>
      <c r="D13" s="97">
        <v>1.4</v>
      </c>
      <c r="E13" s="57">
        <v>1.3</v>
      </c>
      <c r="F13" s="47">
        <v>1.1200000000000001</v>
      </c>
      <c r="G13" s="93">
        <f t="shared" si="0"/>
        <v>1</v>
      </c>
      <c r="H13" s="53">
        <v>10780327.99</v>
      </c>
      <c r="I13" s="53">
        <v>6705760.1100000003</v>
      </c>
      <c r="J13" s="47">
        <f t="shared" si="1"/>
        <v>0</v>
      </c>
      <c r="K13" s="51">
        <f t="shared" si="2"/>
        <v>1676440.0275000001</v>
      </c>
      <c r="L13" s="45">
        <f t="shared" si="5"/>
        <v>6.4304883044794749</v>
      </c>
      <c r="M13" s="43">
        <f t="shared" si="4"/>
        <v>0</v>
      </c>
      <c r="N13" s="46">
        <f t="shared" si="3"/>
        <v>1</v>
      </c>
      <c r="O13" s="46">
        <f>ธ.ค.62!N13</f>
        <v>1</v>
      </c>
      <c r="P13" s="53">
        <v>8725480.4700000007</v>
      </c>
      <c r="Q13" s="53">
        <v>3265113.96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5" t="s">
        <v>19</v>
      </c>
      <c r="D14" s="47">
        <v>1.86</v>
      </c>
      <c r="E14" s="47">
        <v>1.71</v>
      </c>
      <c r="F14" s="47">
        <v>1.34</v>
      </c>
      <c r="G14" s="47">
        <f t="shared" si="0"/>
        <v>0</v>
      </c>
      <c r="H14" s="53">
        <v>18787462.260000002</v>
      </c>
      <c r="I14" s="53">
        <v>8501689.1500000004</v>
      </c>
      <c r="J14" s="47">
        <f t="shared" si="1"/>
        <v>0</v>
      </c>
      <c r="K14" s="51">
        <f t="shared" si="2"/>
        <v>2125422.2875000001</v>
      </c>
      <c r="L14" s="45">
        <f t="shared" si="5"/>
        <v>8.8394021134023699</v>
      </c>
      <c r="M14" s="43">
        <f t="shared" si="4"/>
        <v>0</v>
      </c>
      <c r="N14" s="46">
        <f t="shared" si="3"/>
        <v>0</v>
      </c>
      <c r="O14" s="46">
        <f>ธ.ค.62!N14</f>
        <v>0</v>
      </c>
      <c r="P14" s="53">
        <v>9381630.4299999997</v>
      </c>
      <c r="Q14" s="53">
        <v>7437714.0999999996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5" t="s">
        <v>18</v>
      </c>
      <c r="D15" s="47">
        <v>2.04</v>
      </c>
      <c r="E15" s="47">
        <v>1.84</v>
      </c>
      <c r="F15" s="57">
        <v>1.4</v>
      </c>
      <c r="G15" s="47">
        <f t="shared" si="0"/>
        <v>0</v>
      </c>
      <c r="H15" s="53">
        <v>17567827.93</v>
      </c>
      <c r="I15" s="53">
        <v>8190936.3399999999</v>
      </c>
      <c r="J15" s="47">
        <f t="shared" si="1"/>
        <v>0</v>
      </c>
      <c r="K15" s="51">
        <f t="shared" si="2"/>
        <v>2047734.085</v>
      </c>
      <c r="L15" s="45">
        <f t="shared" si="5"/>
        <v>8.5791549101454745</v>
      </c>
      <c r="M15" s="43">
        <f t="shared" si="4"/>
        <v>0</v>
      </c>
      <c r="N15" s="46">
        <f t="shared" si="3"/>
        <v>0</v>
      </c>
      <c r="O15" s="46">
        <f>ธ.ค.62!N15</f>
        <v>0</v>
      </c>
      <c r="P15" s="53">
        <v>9872235.9800000004</v>
      </c>
      <c r="Q15" s="53">
        <v>6691055.5800000001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5" t="s">
        <v>17</v>
      </c>
      <c r="D16" s="57">
        <v>3.7</v>
      </c>
      <c r="E16" s="47">
        <v>2.86</v>
      </c>
      <c r="F16" s="57">
        <v>2.5</v>
      </c>
      <c r="G16" s="47">
        <f t="shared" si="0"/>
        <v>0</v>
      </c>
      <c r="H16" s="53">
        <v>64776617.880000003</v>
      </c>
      <c r="I16" s="53">
        <v>25394102.559999999</v>
      </c>
      <c r="J16" s="47">
        <f t="shared" si="1"/>
        <v>0</v>
      </c>
      <c r="K16" s="51">
        <f t="shared" si="2"/>
        <v>6348525.6399999997</v>
      </c>
      <c r="L16" s="45">
        <f t="shared" si="5"/>
        <v>10.203411241164966</v>
      </c>
      <c r="M16" s="43">
        <f t="shared" si="4"/>
        <v>0</v>
      </c>
      <c r="N16" s="46">
        <f t="shared" si="3"/>
        <v>0</v>
      </c>
      <c r="O16" s="46">
        <f>ธ.ค.62!N16</f>
        <v>0</v>
      </c>
      <c r="P16" s="53">
        <v>17627291.370000001</v>
      </c>
      <c r="Q16" s="53">
        <v>36081569.880000003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5" t="s">
        <v>16</v>
      </c>
      <c r="D17" s="57">
        <v>2</v>
      </c>
      <c r="E17" s="47">
        <v>1.71</v>
      </c>
      <c r="F17" s="47">
        <v>1.46</v>
      </c>
      <c r="G17" s="47">
        <f t="shared" si="0"/>
        <v>0</v>
      </c>
      <c r="H17" s="53">
        <v>5840809.5</v>
      </c>
      <c r="I17" s="53">
        <v>2930823.79</v>
      </c>
      <c r="J17" s="47">
        <f t="shared" si="1"/>
        <v>0</v>
      </c>
      <c r="K17" s="51">
        <f t="shared" si="2"/>
        <v>732705.94750000001</v>
      </c>
      <c r="L17" s="45">
        <f t="shared" si="5"/>
        <v>7.971560105290397</v>
      </c>
      <c r="M17" s="43">
        <f t="shared" si="4"/>
        <v>0</v>
      </c>
      <c r="N17" s="46">
        <f t="shared" si="3"/>
        <v>0</v>
      </c>
      <c r="O17" s="46">
        <f>ธ.ค.62!N17</f>
        <v>0</v>
      </c>
      <c r="P17" s="53">
        <v>3851890.19</v>
      </c>
      <c r="Q17" s="53">
        <v>2687565.13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5" t="s">
        <v>15</v>
      </c>
      <c r="D18" s="97">
        <v>1.4</v>
      </c>
      <c r="E18" s="47">
        <v>1.24</v>
      </c>
      <c r="F18" s="47">
        <v>0.82</v>
      </c>
      <c r="G18" s="93">
        <f t="shared" si="0"/>
        <v>1</v>
      </c>
      <c r="H18" s="53">
        <v>7605380.7400000002</v>
      </c>
      <c r="I18" s="53">
        <v>2774356.72</v>
      </c>
      <c r="J18" s="47">
        <f t="shared" si="1"/>
        <v>0</v>
      </c>
      <c r="K18" s="51">
        <f t="shared" si="2"/>
        <v>693589.18</v>
      </c>
      <c r="L18" s="45">
        <f t="shared" si="5"/>
        <v>10.965252860490125</v>
      </c>
      <c r="M18" s="43">
        <f t="shared" si="4"/>
        <v>0</v>
      </c>
      <c r="N18" s="46">
        <f t="shared" si="3"/>
        <v>1</v>
      </c>
      <c r="O18" s="46">
        <f>ธ.ค.62!N18</f>
        <v>0</v>
      </c>
      <c r="P18" s="53">
        <v>5630054.9199999999</v>
      </c>
      <c r="Q18" s="94">
        <v>-3493775.71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5" t="s">
        <v>14</v>
      </c>
      <c r="D19" s="93">
        <v>1.28</v>
      </c>
      <c r="E19" s="47">
        <v>1.1399999999999999</v>
      </c>
      <c r="F19" s="93">
        <v>0.63</v>
      </c>
      <c r="G19" s="42">
        <f t="shared" si="0"/>
        <v>2</v>
      </c>
      <c r="H19" s="53">
        <v>3439211.65</v>
      </c>
      <c r="I19" s="53">
        <v>7895954.6900000004</v>
      </c>
      <c r="J19" s="47">
        <f t="shared" si="1"/>
        <v>0</v>
      </c>
      <c r="K19" s="51">
        <f t="shared" si="2"/>
        <v>1973988.6725000001</v>
      </c>
      <c r="L19" s="45">
        <f t="shared" si="5"/>
        <v>1.7422651395685755</v>
      </c>
      <c r="M19" s="43">
        <f t="shared" si="4"/>
        <v>0</v>
      </c>
      <c r="N19" s="46">
        <f t="shared" si="3"/>
        <v>2</v>
      </c>
      <c r="O19" s="46">
        <f>ธ.ค.62!N19</f>
        <v>2</v>
      </c>
      <c r="P19" s="53">
        <v>9353547.6400000006</v>
      </c>
      <c r="Q19" s="94">
        <v>-4657059.47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4" t="s">
        <v>13</v>
      </c>
      <c r="D20" s="47">
        <v>1.68</v>
      </c>
      <c r="E20" s="47">
        <v>1.54</v>
      </c>
      <c r="F20" s="47">
        <v>1.1100000000000001</v>
      </c>
      <c r="G20" s="47">
        <f t="shared" si="0"/>
        <v>0</v>
      </c>
      <c r="H20" s="53">
        <v>5111018.01</v>
      </c>
      <c r="I20" s="94">
        <v>-450495.23</v>
      </c>
      <c r="J20" s="93">
        <f t="shared" si="1"/>
        <v>1</v>
      </c>
      <c r="K20" s="96">
        <f t="shared" si="2"/>
        <v>-112623.8075</v>
      </c>
      <c r="L20" s="45">
        <f t="shared" si="5"/>
        <v>-45.381328543700675</v>
      </c>
      <c r="M20" s="43">
        <f t="shared" si="4"/>
        <v>0</v>
      </c>
      <c r="N20" s="46">
        <f t="shared" si="3"/>
        <v>1</v>
      </c>
      <c r="O20" s="46">
        <f>ธ.ค.62!N20</f>
        <v>0</v>
      </c>
      <c r="P20" s="53">
        <v>924019.6</v>
      </c>
      <c r="Q20" s="53">
        <v>830645.04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8" t="s">
        <v>5</v>
      </c>
      <c r="M23" s="128"/>
      <c r="N23" s="128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8"/>
      <c r="M24" s="128"/>
      <c r="N24" s="128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8" t="s">
        <v>5</v>
      </c>
      <c r="M25" s="128"/>
      <c r="N25" s="128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8"/>
      <c r="M26" s="128"/>
      <c r="N26" s="128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9" t="s">
        <v>5</v>
      </c>
      <c r="L27" s="129"/>
      <c r="M27" s="62"/>
      <c r="N27" s="6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8" t="s">
        <v>5</v>
      </c>
      <c r="M30" s="128"/>
      <c r="N30" s="128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8"/>
      <c r="M31" s="128"/>
      <c r="N31" s="128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C11" sqref="C11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31" t="s">
        <v>68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P1" s="99" t="s">
        <v>53</v>
      </c>
      <c r="Q1" s="41">
        <v>43906</v>
      </c>
    </row>
    <row r="2" spans="1:25" ht="54.75" customHeight="1" thickBot="1">
      <c r="C2" s="132" t="s">
        <v>41</v>
      </c>
      <c r="D2" s="133" t="s">
        <v>40</v>
      </c>
      <c r="E2" s="133"/>
      <c r="F2" s="133"/>
      <c r="G2" s="133"/>
      <c r="H2" s="134" t="s">
        <v>39</v>
      </c>
      <c r="I2" s="134"/>
      <c r="J2" s="134"/>
      <c r="K2" s="135" t="s">
        <v>38</v>
      </c>
      <c r="L2" s="135"/>
      <c r="M2" s="135"/>
      <c r="N2" s="136" t="s">
        <v>69</v>
      </c>
      <c r="O2" s="147" t="s">
        <v>79</v>
      </c>
      <c r="P2" s="144" t="s">
        <v>92</v>
      </c>
      <c r="Q2" s="138" t="s">
        <v>37</v>
      </c>
    </row>
    <row r="3" spans="1:25" ht="38.25" customHeight="1" thickBot="1">
      <c r="C3" s="132"/>
      <c r="D3" s="139" t="s">
        <v>36</v>
      </c>
      <c r="E3" s="139" t="s">
        <v>35</v>
      </c>
      <c r="F3" s="139" t="s">
        <v>34</v>
      </c>
      <c r="G3" s="140" t="s">
        <v>29</v>
      </c>
      <c r="H3" s="141" t="s">
        <v>33</v>
      </c>
      <c r="I3" s="132" t="s">
        <v>32</v>
      </c>
      <c r="J3" s="142" t="s">
        <v>29</v>
      </c>
      <c r="K3" s="143" t="s">
        <v>31</v>
      </c>
      <c r="L3" s="132" t="s">
        <v>30</v>
      </c>
      <c r="M3" s="137" t="s">
        <v>29</v>
      </c>
      <c r="N3" s="136"/>
      <c r="O3" s="147"/>
      <c r="P3" s="145"/>
      <c r="Q3" s="138"/>
    </row>
    <row r="4" spans="1:25" ht="36.75" customHeight="1" thickBot="1">
      <c r="C4" s="132"/>
      <c r="D4" s="139"/>
      <c r="E4" s="139"/>
      <c r="F4" s="139"/>
      <c r="G4" s="140"/>
      <c r="H4" s="141"/>
      <c r="I4" s="132"/>
      <c r="J4" s="142"/>
      <c r="K4" s="143"/>
      <c r="L4" s="132"/>
      <c r="M4" s="137"/>
      <c r="N4" s="136"/>
      <c r="O4" s="147"/>
      <c r="P4" s="146"/>
      <c r="Q4" s="13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4" t="s">
        <v>28</v>
      </c>
      <c r="D5" s="47">
        <v>3.42</v>
      </c>
      <c r="E5" s="57">
        <v>3.2</v>
      </c>
      <c r="F5" s="57">
        <v>1.4</v>
      </c>
      <c r="G5" s="47">
        <f t="shared" ref="G5:G20" si="0">(IF(D5&lt;1.5,1,0))+(IF(E5&lt;1,1,0))+(IF(F5&lt;0.8,1,0))</f>
        <v>0</v>
      </c>
      <c r="H5" s="53">
        <v>543345911.69000006</v>
      </c>
      <c r="I5" s="53">
        <v>59132736.340000004</v>
      </c>
      <c r="J5" s="47">
        <f t="shared" ref="J5:J20" si="1">IF(I5&lt;0,1,0)+IF(H5&lt;0,1,0)</f>
        <v>0</v>
      </c>
      <c r="K5" s="51">
        <f t="shared" ref="K5:K20" si="2">SUM(I5/5)</f>
        <v>11826547.268000001</v>
      </c>
      <c r="L5" s="45">
        <f>+H5/K5</f>
        <v>45.942902808174019</v>
      </c>
      <c r="M5" s="43">
        <f>IF(AND(I5&lt;0,H5&lt;0),2,IF(AND(I5&gt;0,H5&gt;0),0,IF(AND(H5&lt;0,I5&gt;0),IF(ABS((H5/(I5/5)))&lt;3,0,IF(ABS((H5/(I5/5)))&gt;6,2,1)),IF(AND(H5&gt;0,I5&lt;0),IF(ABS((H5/(I5/5)))&lt;3,2,IF(ABS((H5/(I5/5)))&gt;6,0,1))))))</f>
        <v>0</v>
      </c>
      <c r="N5" s="46">
        <f t="shared" ref="N5:N20" si="3">SUM(G5+J5+M5)</f>
        <v>0</v>
      </c>
      <c r="O5" s="46">
        <f>ม.ค.63!N5</f>
        <v>0</v>
      </c>
      <c r="P5" s="53">
        <v>102107206.59</v>
      </c>
      <c r="Q5" s="53">
        <v>88924158.299999997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4" t="s">
        <v>27</v>
      </c>
      <c r="D6" s="42">
        <v>0.85</v>
      </c>
      <c r="E6" s="98">
        <v>0.8</v>
      </c>
      <c r="F6" s="42">
        <v>0.53</v>
      </c>
      <c r="G6" s="55">
        <f t="shared" si="0"/>
        <v>3</v>
      </c>
      <c r="H6" s="68">
        <v>-26828233.129999999</v>
      </c>
      <c r="I6" s="53">
        <v>17020466.16</v>
      </c>
      <c r="J6" s="55">
        <f>IF(I6&lt;0,1,0)+IF(H6&lt;0,1,0)</f>
        <v>1</v>
      </c>
      <c r="K6" s="51">
        <f t="shared" si="2"/>
        <v>3404093.2319999998</v>
      </c>
      <c r="L6" s="45">
        <f>+H6/K6</f>
        <v>-7.8811687288123018</v>
      </c>
      <c r="M6" s="42">
        <f t="shared" ref="M6:M20" si="4">IF(AND(I6&lt;0,H6&lt;0),2,IF(AND(I6&gt;0,H6&gt;0),0,IF(AND(H6&lt;0,I6&gt;0),IF(ABS((H6/(I6/5)))&lt;3,0,IF(ABS((H6/(I6/5)))&gt;6,2,1)),IF(AND(H6&gt;0,I6&lt;0),IF(ABS((H6/(I6/5)))&lt;3,2,IF(ABS((H6/(I6/5)))&gt;6,0,1))))))</f>
        <v>2</v>
      </c>
      <c r="N6" s="46">
        <f>SUM(G6+J6+M6)</f>
        <v>6</v>
      </c>
      <c r="O6" s="46">
        <f>ม.ค.63!N6</f>
        <v>6</v>
      </c>
      <c r="P6" s="53">
        <v>34493349.140000001</v>
      </c>
      <c r="Q6" s="68">
        <v>-83585283.189999998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4" t="s">
        <v>26</v>
      </c>
      <c r="D7" s="42">
        <v>1.32</v>
      </c>
      <c r="E7" s="47">
        <v>1.17</v>
      </c>
      <c r="F7" s="47">
        <v>0.87</v>
      </c>
      <c r="G7" s="42">
        <f t="shared" si="0"/>
        <v>1</v>
      </c>
      <c r="H7" s="53">
        <v>9308179.0099999998</v>
      </c>
      <c r="I7" s="53">
        <v>6252313.5</v>
      </c>
      <c r="J7" s="47">
        <f t="shared" si="1"/>
        <v>0</v>
      </c>
      <c r="K7" s="51">
        <f t="shared" si="2"/>
        <v>1250462.7</v>
      </c>
      <c r="L7" s="45">
        <f t="shared" ref="L7:L20" si="5">+H7/K7</f>
        <v>7.4437878155022137</v>
      </c>
      <c r="M7" s="43">
        <f t="shared" si="4"/>
        <v>0</v>
      </c>
      <c r="N7" s="46">
        <f t="shared" si="3"/>
        <v>1</v>
      </c>
      <c r="O7" s="46">
        <f>ม.ค.63!N7</f>
        <v>1</v>
      </c>
      <c r="P7" s="53">
        <v>7637526.9500000002</v>
      </c>
      <c r="Q7" s="68">
        <v>-3756151.12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4" t="s">
        <v>25</v>
      </c>
      <c r="D8" s="47">
        <v>2.13</v>
      </c>
      <c r="E8" s="47">
        <v>1.86</v>
      </c>
      <c r="F8" s="57">
        <v>1.5</v>
      </c>
      <c r="G8" s="66">
        <f t="shared" si="0"/>
        <v>0</v>
      </c>
      <c r="H8" s="53">
        <v>15230450.689999999</v>
      </c>
      <c r="I8" s="68">
        <v>-868755.08</v>
      </c>
      <c r="J8" s="55">
        <f t="shared" si="1"/>
        <v>1</v>
      </c>
      <c r="K8" s="59">
        <f t="shared" si="2"/>
        <v>-173751.016</v>
      </c>
      <c r="L8" s="45">
        <f t="shared" si="5"/>
        <v>-87.656757586959941</v>
      </c>
      <c r="M8" s="43">
        <f t="shared" si="4"/>
        <v>0</v>
      </c>
      <c r="N8" s="46">
        <f t="shared" si="3"/>
        <v>1</v>
      </c>
      <c r="O8" s="46">
        <f>ม.ค.63!N8</f>
        <v>1</v>
      </c>
      <c r="P8" s="53">
        <v>4365512.5199999996</v>
      </c>
      <c r="Q8" s="53">
        <v>6767725.3300000001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4" t="s">
        <v>24</v>
      </c>
      <c r="D9" s="47">
        <v>1.88</v>
      </c>
      <c r="E9" s="47">
        <v>1.67</v>
      </c>
      <c r="F9" s="47">
        <v>1.47</v>
      </c>
      <c r="G9" s="47">
        <f t="shared" si="0"/>
        <v>0</v>
      </c>
      <c r="H9" s="53">
        <v>17118186.5</v>
      </c>
      <c r="I9" s="53">
        <v>5584297.1500000004</v>
      </c>
      <c r="J9" s="47">
        <f t="shared" si="1"/>
        <v>0</v>
      </c>
      <c r="K9" s="51">
        <f t="shared" si="2"/>
        <v>1116859.4300000002</v>
      </c>
      <c r="L9" s="45">
        <f t="shared" si="5"/>
        <v>15.327073434836825</v>
      </c>
      <c r="M9" s="43">
        <f t="shared" si="4"/>
        <v>0</v>
      </c>
      <c r="N9" s="46">
        <f t="shared" si="3"/>
        <v>0</v>
      </c>
      <c r="O9" s="46">
        <f>ม.ค.63!N9</f>
        <v>0</v>
      </c>
      <c r="P9" s="53">
        <v>7740018.7000000002</v>
      </c>
      <c r="Q9" s="53">
        <v>9260133.1699999999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5" t="s">
        <v>23</v>
      </c>
      <c r="D10" s="42">
        <v>1.27</v>
      </c>
      <c r="E10" s="47">
        <v>1.19</v>
      </c>
      <c r="F10" s="47">
        <v>1.01</v>
      </c>
      <c r="G10" s="42">
        <f t="shared" si="0"/>
        <v>1</v>
      </c>
      <c r="H10" s="53">
        <v>5652563.0700000003</v>
      </c>
      <c r="I10" s="53">
        <v>2501337.7999999998</v>
      </c>
      <c r="J10" s="47">
        <f t="shared" si="1"/>
        <v>0</v>
      </c>
      <c r="K10" s="51">
        <f t="shared" si="2"/>
        <v>500267.55999999994</v>
      </c>
      <c r="L10" s="45">
        <f t="shared" si="5"/>
        <v>11.299079776430039</v>
      </c>
      <c r="M10" s="43">
        <f t="shared" si="4"/>
        <v>0</v>
      </c>
      <c r="N10" s="46">
        <f t="shared" si="3"/>
        <v>1</v>
      </c>
      <c r="O10" s="46">
        <f>ม.ค.63!N10</f>
        <v>1</v>
      </c>
      <c r="P10" s="53">
        <v>3773756.72</v>
      </c>
      <c r="Q10" s="53">
        <v>256924.32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5" t="s">
        <v>22</v>
      </c>
      <c r="D11" s="47">
        <v>1.54</v>
      </c>
      <c r="E11" s="47">
        <v>1.38</v>
      </c>
      <c r="F11" s="47">
        <v>0.91</v>
      </c>
      <c r="G11" s="47">
        <f t="shared" si="0"/>
        <v>0</v>
      </c>
      <c r="H11" s="53">
        <v>27595185.550000001</v>
      </c>
      <c r="I11" s="53">
        <v>16281355.560000001</v>
      </c>
      <c r="J11" s="47">
        <f t="shared" si="1"/>
        <v>0</v>
      </c>
      <c r="K11" s="51">
        <f t="shared" si="2"/>
        <v>3256271.1120000002</v>
      </c>
      <c r="L11" s="45">
        <f t="shared" si="5"/>
        <v>8.4744742071095711</v>
      </c>
      <c r="M11" s="43">
        <f t="shared" si="4"/>
        <v>0</v>
      </c>
      <c r="N11" s="46">
        <f t="shared" si="3"/>
        <v>0</v>
      </c>
      <c r="O11" s="46">
        <f>ม.ค.63!N11</f>
        <v>0</v>
      </c>
      <c r="P11" s="53">
        <v>19338645.280000001</v>
      </c>
      <c r="Q11" s="68">
        <v>-4763657.9000000004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5" t="s">
        <v>21</v>
      </c>
      <c r="D12" s="42">
        <v>1.45</v>
      </c>
      <c r="E12" s="47">
        <v>1.29</v>
      </c>
      <c r="F12" s="47">
        <v>0.96</v>
      </c>
      <c r="G12" s="42">
        <f t="shared" si="0"/>
        <v>1</v>
      </c>
      <c r="H12" s="53">
        <v>14139892.6</v>
      </c>
      <c r="I12" s="53">
        <v>9335488.4100000001</v>
      </c>
      <c r="J12" s="47">
        <f t="shared" si="1"/>
        <v>0</v>
      </c>
      <c r="K12" s="51">
        <f t="shared" si="2"/>
        <v>1867097.682</v>
      </c>
      <c r="L12" s="45">
        <f t="shared" si="5"/>
        <v>7.5731938057218366</v>
      </c>
      <c r="M12" s="43">
        <f t="shared" si="4"/>
        <v>0</v>
      </c>
      <c r="N12" s="46">
        <f t="shared" si="3"/>
        <v>1</v>
      </c>
      <c r="O12" s="46">
        <f>ม.ค.63!N12</f>
        <v>1</v>
      </c>
      <c r="P12" s="53">
        <v>10276508.119999999</v>
      </c>
      <c r="Q12" s="68">
        <v>-1113869.8400000001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5" t="s">
        <v>20</v>
      </c>
      <c r="D13" s="42">
        <v>1.43</v>
      </c>
      <c r="E13" s="47">
        <v>1.34</v>
      </c>
      <c r="F13" s="47">
        <v>1.1599999999999999</v>
      </c>
      <c r="G13" s="42">
        <f t="shared" si="0"/>
        <v>1</v>
      </c>
      <c r="H13" s="53">
        <v>12165965.199999999</v>
      </c>
      <c r="I13" s="53">
        <v>7602359.4800000004</v>
      </c>
      <c r="J13" s="47">
        <f t="shared" si="1"/>
        <v>0</v>
      </c>
      <c r="K13" s="51">
        <f t="shared" si="2"/>
        <v>1520471.8960000002</v>
      </c>
      <c r="L13" s="45">
        <f t="shared" si="5"/>
        <v>8.0014403633541402</v>
      </c>
      <c r="M13" s="43">
        <f t="shared" si="4"/>
        <v>0</v>
      </c>
      <c r="N13" s="46">
        <f t="shared" si="3"/>
        <v>1</v>
      </c>
      <c r="O13" s="46">
        <f>ม.ค.63!N13</f>
        <v>1</v>
      </c>
      <c r="P13" s="53">
        <v>10125831.16</v>
      </c>
      <c r="Q13" s="53">
        <v>4434214.07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5" t="s">
        <v>19</v>
      </c>
      <c r="D14" s="47">
        <v>2.06</v>
      </c>
      <c r="E14" s="47">
        <v>1.91</v>
      </c>
      <c r="F14" s="47">
        <v>1.46</v>
      </c>
      <c r="G14" s="47">
        <f t="shared" si="0"/>
        <v>0</v>
      </c>
      <c r="H14" s="53">
        <v>23087113.559999999</v>
      </c>
      <c r="I14" s="53">
        <v>12367750.550000001</v>
      </c>
      <c r="J14" s="47">
        <f t="shared" si="1"/>
        <v>0</v>
      </c>
      <c r="K14" s="51">
        <f t="shared" si="2"/>
        <v>2473550.1100000003</v>
      </c>
      <c r="L14" s="45">
        <f t="shared" si="5"/>
        <v>9.3335944425237436</v>
      </c>
      <c r="M14" s="43">
        <f t="shared" si="4"/>
        <v>0</v>
      </c>
      <c r="N14" s="46">
        <f t="shared" si="3"/>
        <v>0</v>
      </c>
      <c r="O14" s="46">
        <f>ม.ค.63!N14</f>
        <v>0</v>
      </c>
      <c r="P14" s="53">
        <v>13467677.15</v>
      </c>
      <c r="Q14" s="53">
        <v>9925738.5600000005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5" t="s">
        <v>18</v>
      </c>
      <c r="D15" s="47">
        <v>2.0699999999999998</v>
      </c>
      <c r="E15" s="47">
        <v>1.87</v>
      </c>
      <c r="F15" s="47">
        <v>1.42</v>
      </c>
      <c r="G15" s="47">
        <f t="shared" si="0"/>
        <v>0</v>
      </c>
      <c r="H15" s="53">
        <v>18916928.100000001</v>
      </c>
      <c r="I15" s="53">
        <v>9175460.5999999996</v>
      </c>
      <c r="J15" s="47">
        <f t="shared" si="1"/>
        <v>0</v>
      </c>
      <c r="K15" s="51">
        <f t="shared" si="2"/>
        <v>1835092.1199999999</v>
      </c>
      <c r="L15" s="45">
        <f t="shared" si="5"/>
        <v>10.308435142754579</v>
      </c>
      <c r="M15" s="43">
        <f t="shared" si="4"/>
        <v>0</v>
      </c>
      <c r="N15" s="46">
        <f t="shared" si="3"/>
        <v>0</v>
      </c>
      <c r="O15" s="46">
        <f>ม.ค.63!N15</f>
        <v>0</v>
      </c>
      <c r="P15" s="53">
        <v>11283335.15</v>
      </c>
      <c r="Q15" s="53">
        <v>7411146.6699999999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5" t="s">
        <v>17</v>
      </c>
      <c r="D16" s="57">
        <v>3.5</v>
      </c>
      <c r="E16" s="57">
        <v>2.7</v>
      </c>
      <c r="F16" s="47">
        <v>2.39</v>
      </c>
      <c r="G16" s="47">
        <f t="shared" si="0"/>
        <v>0</v>
      </c>
      <c r="H16" s="53">
        <v>66556480.609999999</v>
      </c>
      <c r="I16" s="53">
        <v>26209946.84</v>
      </c>
      <c r="J16" s="47">
        <f t="shared" si="1"/>
        <v>0</v>
      </c>
      <c r="K16" s="51">
        <f t="shared" si="2"/>
        <v>5241989.3679999998</v>
      </c>
      <c r="L16" s="45">
        <f t="shared" si="5"/>
        <v>12.69679809278087</v>
      </c>
      <c r="M16" s="43">
        <f t="shared" si="4"/>
        <v>0</v>
      </c>
      <c r="N16" s="46">
        <f t="shared" si="3"/>
        <v>0</v>
      </c>
      <c r="O16" s="46">
        <f>ม.ค.63!N16</f>
        <v>0</v>
      </c>
      <c r="P16" s="53">
        <v>19669768.59</v>
      </c>
      <c r="Q16" s="53">
        <v>36987552.939999998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5" t="s">
        <v>16</v>
      </c>
      <c r="D17" s="47">
        <v>2.09</v>
      </c>
      <c r="E17" s="47">
        <v>1.83</v>
      </c>
      <c r="F17" s="47">
        <v>1.59</v>
      </c>
      <c r="G17" s="47">
        <f t="shared" si="0"/>
        <v>0</v>
      </c>
      <c r="H17" s="53">
        <v>7166829.6100000003</v>
      </c>
      <c r="I17" s="53">
        <v>4059444.44</v>
      </c>
      <c r="J17" s="47">
        <f t="shared" si="1"/>
        <v>0</v>
      </c>
      <c r="K17" s="51">
        <f t="shared" si="2"/>
        <v>811888.88800000004</v>
      </c>
      <c r="L17" s="45">
        <f t="shared" si="5"/>
        <v>8.8273527522401558</v>
      </c>
      <c r="M17" s="43">
        <f t="shared" si="4"/>
        <v>0</v>
      </c>
      <c r="N17" s="46">
        <f t="shared" si="3"/>
        <v>0</v>
      </c>
      <c r="O17" s="46">
        <f>ม.ค.63!N17</f>
        <v>0</v>
      </c>
      <c r="P17" s="53">
        <v>5216940.3</v>
      </c>
      <c r="Q17" s="53">
        <v>3914969.56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5" t="s">
        <v>15</v>
      </c>
      <c r="D18" s="42">
        <v>1.46</v>
      </c>
      <c r="E18" s="57">
        <v>1.3</v>
      </c>
      <c r="F18" s="47">
        <v>0.93</v>
      </c>
      <c r="G18" s="42">
        <f t="shared" si="0"/>
        <v>1</v>
      </c>
      <c r="H18" s="53">
        <v>9605845.4900000002</v>
      </c>
      <c r="I18" s="53">
        <v>4251096.08</v>
      </c>
      <c r="J18" s="47">
        <f t="shared" si="1"/>
        <v>0</v>
      </c>
      <c r="K18" s="51">
        <f t="shared" si="2"/>
        <v>850219.21600000001</v>
      </c>
      <c r="L18" s="45">
        <f t="shared" si="5"/>
        <v>11.298080905760191</v>
      </c>
      <c r="M18" s="43">
        <f t="shared" si="4"/>
        <v>0</v>
      </c>
      <c r="N18" s="46">
        <f t="shared" si="3"/>
        <v>1</v>
      </c>
      <c r="O18" s="46">
        <f>ม.ค.63!N18</f>
        <v>1</v>
      </c>
      <c r="P18" s="53">
        <v>8039218.96</v>
      </c>
      <c r="Q18" s="68">
        <v>-1508687.74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5" t="s">
        <v>14</v>
      </c>
      <c r="D19" s="42">
        <v>1.37</v>
      </c>
      <c r="E19" s="47">
        <v>1.22</v>
      </c>
      <c r="F19" s="42">
        <v>0.68</v>
      </c>
      <c r="G19" s="42">
        <f t="shared" si="0"/>
        <v>2</v>
      </c>
      <c r="H19" s="53">
        <v>4665596.29</v>
      </c>
      <c r="I19" s="53">
        <v>9075662.3399999999</v>
      </c>
      <c r="J19" s="47">
        <f t="shared" si="1"/>
        <v>0</v>
      </c>
      <c r="K19" s="51">
        <f t="shared" si="2"/>
        <v>1815132.4679999999</v>
      </c>
      <c r="L19" s="45">
        <f t="shared" si="5"/>
        <v>2.5703888681693727</v>
      </c>
      <c r="M19" s="43">
        <f t="shared" si="4"/>
        <v>0</v>
      </c>
      <c r="N19" s="46">
        <f t="shared" si="3"/>
        <v>2</v>
      </c>
      <c r="O19" s="46">
        <f>ม.ค.63!N19</f>
        <v>2</v>
      </c>
      <c r="P19" s="53">
        <v>10911665.58</v>
      </c>
      <c r="Q19" s="68">
        <v>-4035844.79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4" t="s">
        <v>13</v>
      </c>
      <c r="D20" s="47">
        <v>1.84</v>
      </c>
      <c r="E20" s="47">
        <v>1.69</v>
      </c>
      <c r="F20" s="47">
        <v>1.24</v>
      </c>
      <c r="G20" s="47">
        <f t="shared" si="0"/>
        <v>0</v>
      </c>
      <c r="H20" s="53">
        <v>6469105.2699999996</v>
      </c>
      <c r="I20" s="53">
        <v>453097.94</v>
      </c>
      <c r="J20" s="47">
        <f t="shared" si="1"/>
        <v>0</v>
      </c>
      <c r="K20" s="44">
        <f t="shared" si="2"/>
        <v>90619.588000000003</v>
      </c>
      <c r="L20" s="45">
        <f t="shared" si="5"/>
        <v>71.387493728177176</v>
      </c>
      <c r="M20" s="43">
        <f t="shared" si="4"/>
        <v>0</v>
      </c>
      <c r="N20" s="46">
        <f t="shared" si="3"/>
        <v>0</v>
      </c>
      <c r="O20" s="46">
        <f>ม.ค.63!N20</f>
        <v>1</v>
      </c>
      <c r="P20" s="53">
        <v>2132909.52</v>
      </c>
      <c r="Q20" s="53">
        <v>1844379.65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8" t="s">
        <v>5</v>
      </c>
      <c r="M23" s="128"/>
      <c r="N23" s="128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8"/>
      <c r="M24" s="128"/>
      <c r="N24" s="128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8" t="s">
        <v>5</v>
      </c>
      <c r="M25" s="128"/>
      <c r="N25" s="128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8"/>
      <c r="M26" s="128"/>
      <c r="N26" s="128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9" t="s">
        <v>5</v>
      </c>
      <c r="L27" s="129"/>
      <c r="M27" s="62"/>
      <c r="N27" s="6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8" t="s">
        <v>5</v>
      </c>
      <c r="M30" s="128"/>
      <c r="N30" s="128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8"/>
      <c r="M31" s="128"/>
      <c r="N31" s="128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FFF00"/>
        <color rgb="FFFF0000"/>
      </colorScale>
    </cfRule>
    <cfRule type="colorScale" priority="8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7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5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1" zoomScaleNormal="71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H11" sqref="H11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0.42578125" style="1" customWidth="1"/>
    <col min="17" max="17" width="24.710937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31" t="s">
        <v>70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P1" s="99" t="s">
        <v>53</v>
      </c>
      <c r="Q1" s="41">
        <v>43938</v>
      </c>
    </row>
    <row r="2" spans="1:25" ht="54.75" customHeight="1" thickBot="1">
      <c r="C2" s="132" t="s">
        <v>41</v>
      </c>
      <c r="D2" s="133" t="s">
        <v>40</v>
      </c>
      <c r="E2" s="133"/>
      <c r="F2" s="133"/>
      <c r="G2" s="133"/>
      <c r="H2" s="134" t="s">
        <v>39</v>
      </c>
      <c r="I2" s="134"/>
      <c r="J2" s="134"/>
      <c r="K2" s="135" t="s">
        <v>38</v>
      </c>
      <c r="L2" s="135"/>
      <c r="M2" s="135"/>
      <c r="N2" s="136" t="s">
        <v>71</v>
      </c>
      <c r="O2" s="147" t="s">
        <v>78</v>
      </c>
      <c r="P2" s="144" t="s">
        <v>92</v>
      </c>
      <c r="Q2" s="138" t="s">
        <v>37</v>
      </c>
    </row>
    <row r="3" spans="1:25" ht="38.25" customHeight="1" thickBot="1">
      <c r="C3" s="132"/>
      <c r="D3" s="139" t="s">
        <v>36</v>
      </c>
      <c r="E3" s="139" t="s">
        <v>35</v>
      </c>
      <c r="F3" s="139" t="s">
        <v>34</v>
      </c>
      <c r="G3" s="140" t="s">
        <v>29</v>
      </c>
      <c r="H3" s="141" t="s">
        <v>33</v>
      </c>
      <c r="I3" s="132" t="s">
        <v>32</v>
      </c>
      <c r="J3" s="142" t="s">
        <v>29</v>
      </c>
      <c r="K3" s="143" t="s">
        <v>31</v>
      </c>
      <c r="L3" s="132" t="s">
        <v>30</v>
      </c>
      <c r="M3" s="137" t="s">
        <v>29</v>
      </c>
      <c r="N3" s="136"/>
      <c r="O3" s="147"/>
      <c r="P3" s="145"/>
      <c r="Q3" s="138"/>
    </row>
    <row r="4" spans="1:25" ht="36.75" customHeight="1" thickBot="1">
      <c r="C4" s="132"/>
      <c r="D4" s="139"/>
      <c r="E4" s="139"/>
      <c r="F4" s="139"/>
      <c r="G4" s="140"/>
      <c r="H4" s="141"/>
      <c r="I4" s="132"/>
      <c r="J4" s="142"/>
      <c r="K4" s="143"/>
      <c r="L4" s="132"/>
      <c r="M4" s="137"/>
      <c r="N4" s="136"/>
      <c r="O4" s="147"/>
      <c r="P4" s="146"/>
      <c r="Q4" s="13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4" t="s">
        <v>28</v>
      </c>
      <c r="D5" s="57">
        <v>3.6</v>
      </c>
      <c r="E5" s="47">
        <v>3.37</v>
      </c>
      <c r="F5" s="47">
        <v>1.38</v>
      </c>
      <c r="G5" s="47">
        <f t="shared" ref="G5:G20" si="0">(IF(D5&lt;1.5,1,0))+(IF(E5&lt;1,1,0))+(IF(F5&lt;0.8,1,0))</f>
        <v>0</v>
      </c>
      <c r="H5" s="53">
        <v>562013114.41999996</v>
      </c>
      <c r="I5" s="53">
        <v>89737693.349999994</v>
      </c>
      <c r="J5" s="47">
        <f t="shared" ref="J5:J20" si="1">IF(I5&lt;0,1,0)+IF(H5&lt;0,1,0)</f>
        <v>0</v>
      </c>
      <c r="K5" s="51">
        <f t="shared" ref="K5:K20" si="2">SUM(I5/6)</f>
        <v>14956282.225</v>
      </c>
      <c r="L5" s="45">
        <f>+H5/K5</f>
        <v>37.577059991591589</v>
      </c>
      <c r="M5" s="43">
        <f>IF(AND(I5&lt;0,H5&lt;0),2,IF(AND(I5&gt;0,H5&gt;0),0,IF(AND(H5&lt;0,I5&gt;0),IF(ABS((H5/(I5/6)))&lt;3,0,IF(ABS((H5/(I5/6)))&gt;6,2,1)),IF(AND(H5&gt;0,I5&lt;0),IF(ABS((H5/(I5/6)))&lt;3,2,IF(ABS((H5/(I5/6)))&gt;6,0,1))))))</f>
        <v>0</v>
      </c>
      <c r="N5" s="46">
        <f t="shared" ref="N5:N20" si="3">SUM(G5+J5+M5)</f>
        <v>0</v>
      </c>
      <c r="O5" s="46">
        <f>ก.พ.63!N5</f>
        <v>0</v>
      </c>
      <c r="P5" s="100">
        <v>124085341.91</v>
      </c>
      <c r="Q5" s="53">
        <v>82670759.810000002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4" t="s">
        <v>27</v>
      </c>
      <c r="D6" s="42">
        <v>0.85</v>
      </c>
      <c r="E6" s="98">
        <v>0.8</v>
      </c>
      <c r="F6" s="42">
        <v>0.54</v>
      </c>
      <c r="G6" s="55">
        <f t="shared" si="0"/>
        <v>3</v>
      </c>
      <c r="H6" s="68">
        <v>-26471753.690000001</v>
      </c>
      <c r="I6" s="53">
        <v>19189355.399999999</v>
      </c>
      <c r="J6" s="55">
        <f>IF(I6&lt;0,1,0)+IF(H6&lt;0,1,0)</f>
        <v>1</v>
      </c>
      <c r="K6" s="51">
        <f t="shared" si="2"/>
        <v>3198225.9</v>
      </c>
      <c r="L6" s="45">
        <f>+H6/K6</f>
        <v>-8.2770118552288636</v>
      </c>
      <c r="M6" s="42">
        <f t="shared" ref="M6:M20" si="4">IF(AND(I6&lt;0,H6&lt;0),2,IF(AND(I6&gt;0,H6&gt;0),0,IF(AND(H6&lt;0,I6&gt;0),IF(ABS((H6/(I6/6)))&lt;3,0,IF(ABS((H6/(I6/6)))&gt;6,2,1)),IF(AND(H6&gt;0,I6&lt;0),IF(ABS((H6/(I6/6)))&lt;3,2,IF(ABS((H6/(I6/6)))&gt;6,0,1))))))</f>
        <v>2</v>
      </c>
      <c r="N6" s="46">
        <f>SUM(G6+J6+M6)</f>
        <v>6</v>
      </c>
      <c r="O6" s="46">
        <f>ก.พ.63!N6</f>
        <v>6</v>
      </c>
      <c r="P6" s="100">
        <v>36275066.060000002</v>
      </c>
      <c r="Q6" s="68">
        <v>-79407740.170000002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4" t="s">
        <v>26</v>
      </c>
      <c r="D7" s="42">
        <v>1.46</v>
      </c>
      <c r="E7" s="57">
        <v>1.3</v>
      </c>
      <c r="F7" s="47">
        <v>0.99</v>
      </c>
      <c r="G7" s="42">
        <f t="shared" si="0"/>
        <v>1</v>
      </c>
      <c r="H7" s="53">
        <v>13241858.32</v>
      </c>
      <c r="I7" s="53">
        <v>9023760.0999999996</v>
      </c>
      <c r="J7" s="47">
        <f t="shared" si="1"/>
        <v>0</v>
      </c>
      <c r="K7" s="51">
        <f t="shared" si="2"/>
        <v>1503960.0166666666</v>
      </c>
      <c r="L7" s="45">
        <f t="shared" ref="L7:L20" si="5">+H7/K7</f>
        <v>8.8046611434184747</v>
      </c>
      <c r="M7" s="43">
        <f t="shared" si="4"/>
        <v>0</v>
      </c>
      <c r="N7" s="46">
        <f t="shared" si="3"/>
        <v>1</v>
      </c>
      <c r="O7" s="46">
        <f>ก.พ.63!N7</f>
        <v>1</v>
      </c>
      <c r="P7" s="100">
        <v>9314016.2400000002</v>
      </c>
      <c r="Q7" s="68">
        <v>-361274.03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4" t="s">
        <v>25</v>
      </c>
      <c r="D8" s="47">
        <v>2.29</v>
      </c>
      <c r="E8" s="47">
        <v>2.08</v>
      </c>
      <c r="F8" s="47">
        <v>1.76</v>
      </c>
      <c r="G8" s="66">
        <f t="shared" si="0"/>
        <v>0</v>
      </c>
      <c r="H8" s="53">
        <v>17702646.260000002</v>
      </c>
      <c r="I8" s="53">
        <v>1092895.32</v>
      </c>
      <c r="J8" s="66">
        <f t="shared" si="1"/>
        <v>0</v>
      </c>
      <c r="K8" s="51">
        <f t="shared" si="2"/>
        <v>182149.22</v>
      </c>
      <c r="L8" s="45">
        <f t="shared" si="5"/>
        <v>97.187603987543852</v>
      </c>
      <c r="M8" s="43">
        <f t="shared" si="4"/>
        <v>0</v>
      </c>
      <c r="N8" s="46">
        <f t="shared" si="3"/>
        <v>0</v>
      </c>
      <c r="O8" s="46">
        <f>ก.พ.63!N8</f>
        <v>1</v>
      </c>
      <c r="P8" s="100">
        <v>6027988.7400000002</v>
      </c>
      <c r="Q8" s="53">
        <v>10397366.83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4" t="s">
        <v>24</v>
      </c>
      <c r="D9" s="47">
        <v>1.89</v>
      </c>
      <c r="E9" s="57">
        <v>1.7</v>
      </c>
      <c r="F9" s="47">
        <v>1.53</v>
      </c>
      <c r="G9" s="47">
        <f t="shared" si="0"/>
        <v>0</v>
      </c>
      <c r="H9" s="53">
        <v>18647039.789999999</v>
      </c>
      <c r="I9" s="53">
        <v>8640304.3499999996</v>
      </c>
      <c r="J9" s="47">
        <f t="shared" si="1"/>
        <v>0</v>
      </c>
      <c r="K9" s="51">
        <f t="shared" si="2"/>
        <v>1440050.7249999999</v>
      </c>
      <c r="L9" s="45">
        <f t="shared" si="5"/>
        <v>12.948877054313487</v>
      </c>
      <c r="M9" s="43">
        <f t="shared" si="4"/>
        <v>0</v>
      </c>
      <c r="N9" s="46">
        <f t="shared" si="3"/>
        <v>0</v>
      </c>
      <c r="O9" s="46">
        <f>ก.พ.63!N9</f>
        <v>0</v>
      </c>
      <c r="P9" s="100">
        <v>11227170.210000001</v>
      </c>
      <c r="Q9" s="53">
        <v>11130064.4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5" t="s">
        <v>23</v>
      </c>
      <c r="D10" s="42">
        <v>1.43</v>
      </c>
      <c r="E10" s="47">
        <v>1.35</v>
      </c>
      <c r="F10" s="47">
        <v>1.1599999999999999</v>
      </c>
      <c r="G10" s="42">
        <f t="shared" si="0"/>
        <v>1</v>
      </c>
      <c r="H10" s="53">
        <v>8936833.6099999994</v>
      </c>
      <c r="I10" s="54">
        <v>5675173.1299999999</v>
      </c>
      <c r="J10" s="47">
        <f t="shared" si="1"/>
        <v>0</v>
      </c>
      <c r="K10" s="51">
        <f t="shared" si="2"/>
        <v>945862.18833333335</v>
      </c>
      <c r="L10" s="45">
        <f t="shared" si="5"/>
        <v>9.4483464084204947</v>
      </c>
      <c r="M10" s="43">
        <f t="shared" si="4"/>
        <v>0</v>
      </c>
      <c r="N10" s="46">
        <f t="shared" si="3"/>
        <v>1</v>
      </c>
      <c r="O10" s="46">
        <f>ก.พ.63!N10</f>
        <v>1</v>
      </c>
      <c r="P10" s="100">
        <v>6330437.8799999999</v>
      </c>
      <c r="Q10" s="53">
        <v>3374985.2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5" t="s">
        <v>22</v>
      </c>
      <c r="D11" s="47">
        <v>1.51</v>
      </c>
      <c r="E11" s="47">
        <v>1.36</v>
      </c>
      <c r="F11" s="47">
        <v>0.98</v>
      </c>
      <c r="G11" s="47">
        <f t="shared" si="0"/>
        <v>0</v>
      </c>
      <c r="H11" s="53">
        <v>28059409.68</v>
      </c>
      <c r="I11" s="53">
        <v>22894338.48</v>
      </c>
      <c r="J11" s="47">
        <f t="shared" si="1"/>
        <v>0</v>
      </c>
      <c r="K11" s="51">
        <f t="shared" si="2"/>
        <v>3815723.08</v>
      </c>
      <c r="L11" s="45">
        <f t="shared" si="5"/>
        <v>7.3536284189679719</v>
      </c>
      <c r="M11" s="43">
        <f t="shared" si="4"/>
        <v>0</v>
      </c>
      <c r="N11" s="46">
        <f t="shared" si="3"/>
        <v>0</v>
      </c>
      <c r="O11" s="46">
        <f>ก.พ.63!N11</f>
        <v>0</v>
      </c>
      <c r="P11" s="100">
        <v>22228032.920000002</v>
      </c>
      <c r="Q11" s="68">
        <v>-1576255.79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5" t="s">
        <v>21</v>
      </c>
      <c r="D12" s="42">
        <v>1.44</v>
      </c>
      <c r="E12" s="47">
        <v>1.28</v>
      </c>
      <c r="F12" s="47">
        <v>0.91</v>
      </c>
      <c r="G12" s="42">
        <f t="shared" si="0"/>
        <v>1</v>
      </c>
      <c r="H12" s="53">
        <v>13318413.9</v>
      </c>
      <c r="I12" s="53">
        <v>8677260.5199999996</v>
      </c>
      <c r="J12" s="47">
        <f t="shared" si="1"/>
        <v>0</v>
      </c>
      <c r="K12" s="51">
        <f t="shared" si="2"/>
        <v>1446210.0866666667</v>
      </c>
      <c r="L12" s="45">
        <f t="shared" si="5"/>
        <v>9.2091833840664723</v>
      </c>
      <c r="M12" s="43">
        <f t="shared" si="4"/>
        <v>0</v>
      </c>
      <c r="N12" s="46">
        <f t="shared" si="3"/>
        <v>1</v>
      </c>
      <c r="O12" s="46">
        <f>ก.พ.63!N12</f>
        <v>1</v>
      </c>
      <c r="P12" s="100">
        <v>8488201.5399999991</v>
      </c>
      <c r="Q12" s="68">
        <v>-2874908.67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5" t="s">
        <v>20</v>
      </c>
      <c r="D13" s="42">
        <v>1.44</v>
      </c>
      <c r="E13" s="47">
        <v>1.35</v>
      </c>
      <c r="F13" s="47">
        <v>1.18</v>
      </c>
      <c r="G13" s="42">
        <f t="shared" si="0"/>
        <v>1</v>
      </c>
      <c r="H13" s="53">
        <v>13778942.609999999</v>
      </c>
      <c r="I13" s="53">
        <v>9870575.9399999995</v>
      </c>
      <c r="J13" s="47">
        <f t="shared" si="1"/>
        <v>0</v>
      </c>
      <c r="K13" s="51">
        <f t="shared" si="2"/>
        <v>1645095.99</v>
      </c>
      <c r="L13" s="45">
        <f t="shared" si="5"/>
        <v>8.3757681580635293</v>
      </c>
      <c r="M13" s="43">
        <f t="shared" si="4"/>
        <v>0</v>
      </c>
      <c r="N13" s="46">
        <f t="shared" si="3"/>
        <v>1</v>
      </c>
      <c r="O13" s="46">
        <f>ก.พ.63!N13</f>
        <v>1</v>
      </c>
      <c r="P13" s="100">
        <v>11627819.57</v>
      </c>
      <c r="Q13" s="53">
        <v>5708247.5599999996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5" t="s">
        <v>19</v>
      </c>
      <c r="D14" s="47">
        <v>2.29</v>
      </c>
      <c r="E14" s="57">
        <v>2.1</v>
      </c>
      <c r="F14" s="47">
        <v>1.65</v>
      </c>
      <c r="G14" s="47">
        <f t="shared" si="0"/>
        <v>0</v>
      </c>
      <c r="H14" s="53">
        <v>25444094.219999999</v>
      </c>
      <c r="I14" s="53">
        <v>14964176.67</v>
      </c>
      <c r="J14" s="47">
        <f t="shared" si="1"/>
        <v>0</v>
      </c>
      <c r="K14" s="51">
        <f t="shared" si="2"/>
        <v>2494029.4449999998</v>
      </c>
      <c r="L14" s="45">
        <f t="shared" si="5"/>
        <v>10.202002334419111</v>
      </c>
      <c r="M14" s="43">
        <f t="shared" si="4"/>
        <v>0</v>
      </c>
      <c r="N14" s="46">
        <f t="shared" si="3"/>
        <v>0</v>
      </c>
      <c r="O14" s="46">
        <f>ก.พ.63!N14</f>
        <v>0</v>
      </c>
      <c r="P14" s="100">
        <v>15113970.82</v>
      </c>
      <c r="Q14" s="53">
        <v>12854860.6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5" t="s">
        <v>18</v>
      </c>
      <c r="D15" s="47">
        <v>2.34</v>
      </c>
      <c r="E15" s="47">
        <v>2.14</v>
      </c>
      <c r="F15" s="47">
        <v>1.71</v>
      </c>
      <c r="G15" s="47">
        <f t="shared" si="0"/>
        <v>0</v>
      </c>
      <c r="H15" s="53">
        <v>23945468.949999999</v>
      </c>
      <c r="I15" s="53">
        <v>14486139.619999999</v>
      </c>
      <c r="J15" s="47">
        <f t="shared" si="1"/>
        <v>0</v>
      </c>
      <c r="K15" s="51">
        <f t="shared" si="2"/>
        <v>2414356.603333333</v>
      </c>
      <c r="L15" s="45">
        <f t="shared" si="5"/>
        <v>9.9179503628172281</v>
      </c>
      <c r="M15" s="43">
        <f t="shared" si="4"/>
        <v>0</v>
      </c>
      <c r="N15" s="46">
        <f t="shared" si="3"/>
        <v>0</v>
      </c>
      <c r="O15" s="46">
        <f>ก.พ.63!N15</f>
        <v>0</v>
      </c>
      <c r="P15" s="100">
        <v>15838008.32</v>
      </c>
      <c r="Q15" s="53">
        <v>12556768.67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5" t="s">
        <v>17</v>
      </c>
      <c r="D16" s="47">
        <v>3.67</v>
      </c>
      <c r="E16" s="47">
        <v>2.89</v>
      </c>
      <c r="F16" s="47">
        <v>2.5499999999999998</v>
      </c>
      <c r="G16" s="47">
        <f t="shared" si="0"/>
        <v>0</v>
      </c>
      <c r="H16" s="53">
        <v>72732464.510000005</v>
      </c>
      <c r="I16" s="53">
        <v>33370293.23</v>
      </c>
      <c r="J16" s="47">
        <f t="shared" si="1"/>
        <v>0</v>
      </c>
      <c r="K16" s="51">
        <f t="shared" si="2"/>
        <v>5561715.5383333331</v>
      </c>
      <c r="L16" s="45">
        <f t="shared" si="5"/>
        <v>13.077343493873759</v>
      </c>
      <c r="M16" s="43">
        <f t="shared" si="4"/>
        <v>0</v>
      </c>
      <c r="N16" s="46">
        <f t="shared" si="3"/>
        <v>0</v>
      </c>
      <c r="O16" s="46">
        <f>ก.พ.63!N16</f>
        <v>0</v>
      </c>
      <c r="P16" s="100">
        <v>26190646.780000001</v>
      </c>
      <c r="Q16" s="53">
        <v>42150716.219999999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5" t="s">
        <v>16</v>
      </c>
      <c r="D17" s="47">
        <v>2.1800000000000002</v>
      </c>
      <c r="E17" s="47">
        <v>1.94</v>
      </c>
      <c r="F17" s="47">
        <v>1.76</v>
      </c>
      <c r="G17" s="47">
        <f t="shared" si="0"/>
        <v>0</v>
      </c>
      <c r="H17" s="53">
        <v>8665522.9399999995</v>
      </c>
      <c r="I17" s="53">
        <v>5608140</v>
      </c>
      <c r="J17" s="47">
        <f t="shared" si="1"/>
        <v>0</v>
      </c>
      <c r="K17" s="51">
        <f t="shared" si="2"/>
        <v>934690</v>
      </c>
      <c r="L17" s="45">
        <f t="shared" si="5"/>
        <v>9.2710127849875352</v>
      </c>
      <c r="M17" s="43">
        <f t="shared" si="4"/>
        <v>0</v>
      </c>
      <c r="N17" s="46">
        <f t="shared" si="3"/>
        <v>0</v>
      </c>
      <c r="O17" s="46">
        <f>ก.พ.63!N17</f>
        <v>0</v>
      </c>
      <c r="P17" s="100">
        <v>6320918.6799999997</v>
      </c>
      <c r="Q17" s="53">
        <v>5558696.04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5" t="s">
        <v>15</v>
      </c>
      <c r="D18" s="42">
        <v>1.47</v>
      </c>
      <c r="E18" s="47">
        <v>1.3</v>
      </c>
      <c r="F18" s="47">
        <v>0.95</v>
      </c>
      <c r="G18" s="42">
        <f t="shared" si="0"/>
        <v>1</v>
      </c>
      <c r="H18" s="53">
        <v>10990826.199999999</v>
      </c>
      <c r="I18" s="53">
        <v>7598133.5499999998</v>
      </c>
      <c r="J18" s="47">
        <f t="shared" si="1"/>
        <v>0</v>
      </c>
      <c r="K18" s="51">
        <f t="shared" si="2"/>
        <v>1266355.5916666666</v>
      </c>
      <c r="L18" s="45">
        <f t="shared" si="5"/>
        <v>8.679099513853636</v>
      </c>
      <c r="M18" s="43">
        <f t="shared" si="4"/>
        <v>0</v>
      </c>
      <c r="N18" s="46">
        <f t="shared" si="3"/>
        <v>1</v>
      </c>
      <c r="O18" s="46">
        <f>ก.พ.63!N18</f>
        <v>1</v>
      </c>
      <c r="P18" s="100">
        <v>9981265.6899999995</v>
      </c>
      <c r="Q18" s="68">
        <v>-1065400.1200000001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5" t="s">
        <v>14</v>
      </c>
      <c r="D19" s="42">
        <v>1.37</v>
      </c>
      <c r="E19" s="47">
        <v>1.25</v>
      </c>
      <c r="F19" s="42">
        <v>0.78</v>
      </c>
      <c r="G19" s="42">
        <f t="shared" si="0"/>
        <v>2</v>
      </c>
      <c r="H19" s="53">
        <v>5154062.82</v>
      </c>
      <c r="I19" s="53">
        <v>9564163.7799999993</v>
      </c>
      <c r="J19" s="47">
        <f t="shared" si="1"/>
        <v>0</v>
      </c>
      <c r="K19" s="51">
        <f t="shared" si="2"/>
        <v>1594027.2966666666</v>
      </c>
      <c r="L19" s="45">
        <f t="shared" si="5"/>
        <v>3.2333591970337423</v>
      </c>
      <c r="M19" s="43">
        <f t="shared" si="4"/>
        <v>0</v>
      </c>
      <c r="N19" s="46">
        <f t="shared" si="3"/>
        <v>2</v>
      </c>
      <c r="O19" s="46">
        <f>ก.พ.63!N19</f>
        <v>2</v>
      </c>
      <c r="P19" s="100">
        <v>10999344.16</v>
      </c>
      <c r="Q19" s="68">
        <v>-3065093.54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4" t="s">
        <v>13</v>
      </c>
      <c r="D20" s="57">
        <v>1.9</v>
      </c>
      <c r="E20" s="47">
        <v>1.76</v>
      </c>
      <c r="F20" s="47">
        <v>1.42</v>
      </c>
      <c r="G20" s="47">
        <f t="shared" si="0"/>
        <v>0</v>
      </c>
      <c r="H20" s="53">
        <v>7432761.3300000001</v>
      </c>
      <c r="I20" s="53">
        <v>2124345.83</v>
      </c>
      <c r="J20" s="47">
        <f t="shared" si="1"/>
        <v>0</v>
      </c>
      <c r="K20" s="44">
        <f t="shared" si="2"/>
        <v>354057.63833333337</v>
      </c>
      <c r="L20" s="45">
        <f t="shared" si="5"/>
        <v>20.993082835293347</v>
      </c>
      <c r="M20" s="43">
        <f t="shared" si="4"/>
        <v>0</v>
      </c>
      <c r="N20" s="46">
        <f t="shared" si="3"/>
        <v>0</v>
      </c>
      <c r="O20" s="46">
        <f>ก.พ.63!N20</f>
        <v>0</v>
      </c>
      <c r="P20" s="100">
        <v>3210563.34</v>
      </c>
      <c r="Q20" s="53">
        <v>3513628.89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8" t="s">
        <v>5</v>
      </c>
      <c r="M23" s="128"/>
      <c r="N23" s="128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8"/>
      <c r="M24" s="128"/>
      <c r="N24" s="128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8" t="s">
        <v>5</v>
      </c>
      <c r="M25" s="128"/>
      <c r="N25" s="128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8"/>
      <c r="M26" s="128"/>
      <c r="N26" s="128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9" t="s">
        <v>5</v>
      </c>
      <c r="L27" s="129"/>
      <c r="M27" s="62"/>
      <c r="N27" s="6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8" t="s">
        <v>5</v>
      </c>
      <c r="M30" s="128"/>
      <c r="N30" s="128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8"/>
      <c r="M31" s="128"/>
      <c r="N31" s="128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C11" sqref="C11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6.5703125" style="1" customWidth="1"/>
    <col min="16" max="16" width="20.4257812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31" t="s">
        <v>72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P1" s="99" t="s">
        <v>53</v>
      </c>
      <c r="Q1" s="41">
        <v>43969</v>
      </c>
    </row>
    <row r="2" spans="1:25" ht="54.75" customHeight="1" thickBot="1">
      <c r="C2" s="132" t="s">
        <v>41</v>
      </c>
      <c r="D2" s="133" t="s">
        <v>40</v>
      </c>
      <c r="E2" s="133"/>
      <c r="F2" s="133"/>
      <c r="G2" s="133"/>
      <c r="H2" s="134" t="s">
        <v>39</v>
      </c>
      <c r="I2" s="134"/>
      <c r="J2" s="134"/>
      <c r="K2" s="135" t="s">
        <v>38</v>
      </c>
      <c r="L2" s="135"/>
      <c r="M2" s="135"/>
      <c r="N2" s="136" t="s">
        <v>73</v>
      </c>
      <c r="O2" s="147" t="s">
        <v>77</v>
      </c>
      <c r="P2" s="144" t="s">
        <v>92</v>
      </c>
      <c r="Q2" s="138" t="s">
        <v>37</v>
      </c>
    </row>
    <row r="3" spans="1:25" ht="38.25" customHeight="1" thickBot="1">
      <c r="C3" s="132"/>
      <c r="D3" s="139" t="s">
        <v>36</v>
      </c>
      <c r="E3" s="139" t="s">
        <v>35</v>
      </c>
      <c r="F3" s="139" t="s">
        <v>34</v>
      </c>
      <c r="G3" s="140" t="s">
        <v>29</v>
      </c>
      <c r="H3" s="141" t="s">
        <v>33</v>
      </c>
      <c r="I3" s="132" t="s">
        <v>32</v>
      </c>
      <c r="J3" s="142" t="s">
        <v>29</v>
      </c>
      <c r="K3" s="143" t="s">
        <v>31</v>
      </c>
      <c r="L3" s="132" t="s">
        <v>30</v>
      </c>
      <c r="M3" s="137" t="s">
        <v>29</v>
      </c>
      <c r="N3" s="136"/>
      <c r="O3" s="147"/>
      <c r="P3" s="145"/>
      <c r="Q3" s="138"/>
    </row>
    <row r="4" spans="1:25" ht="36.75" customHeight="1" thickBot="1">
      <c r="C4" s="132"/>
      <c r="D4" s="139"/>
      <c r="E4" s="139"/>
      <c r="F4" s="139"/>
      <c r="G4" s="140"/>
      <c r="H4" s="141"/>
      <c r="I4" s="132"/>
      <c r="J4" s="142"/>
      <c r="K4" s="143"/>
      <c r="L4" s="132"/>
      <c r="M4" s="137"/>
      <c r="N4" s="136"/>
      <c r="O4" s="147"/>
      <c r="P4" s="146"/>
      <c r="Q4" s="13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4" t="s">
        <v>28</v>
      </c>
      <c r="D5" s="47">
        <v>3.43</v>
      </c>
      <c r="E5" s="47">
        <v>3.16</v>
      </c>
      <c r="F5" s="47">
        <v>1.1299999999999999</v>
      </c>
      <c r="G5" s="47">
        <f t="shared" ref="G5:G20" si="0">(IF(D5&lt;1.5,1,0))+(IF(E5&lt;1,1,0))+(IF(F5&lt;0.8,1,0))</f>
        <v>0</v>
      </c>
      <c r="H5" s="53">
        <v>510801783.24000001</v>
      </c>
      <c r="I5" s="53">
        <v>37938863.329999998</v>
      </c>
      <c r="J5" s="47">
        <f t="shared" ref="J5:J20" si="1">IF(I5&lt;0,1,0)+IF(H5&lt;0,1,0)</f>
        <v>0</v>
      </c>
      <c r="K5" s="51">
        <f>SUM(I5/7)</f>
        <v>5419837.6185714286</v>
      </c>
      <c r="L5" s="45">
        <f>+H5/K5</f>
        <v>94.246695046675242</v>
      </c>
      <c r="M5" s="43">
        <f>IF(AND(I5&lt;0,H5&lt;0),2,IF(AND(I5&gt;0,H5&gt;0),0,IF(AND(H5&lt;0,I5&gt;0),IF(ABS((H5/(I5/7)))&lt;3,0,IF(ABS((H5/(I5/7)))&gt;6,2,1)),IF(AND(H5&gt;0,I5&lt;0),IF(ABS((H5/(I5/7)))&lt;3,2,IF(ABS((H5/(I5/7)))&gt;6,0,1))))))</f>
        <v>0</v>
      </c>
      <c r="N5" s="46">
        <f t="shared" ref="N5:N20" si="2">SUM(G5+J5+M5)</f>
        <v>0</v>
      </c>
      <c r="O5" s="46">
        <f>มี.ค.63!N5</f>
        <v>0</v>
      </c>
      <c r="P5" s="100">
        <v>80881405.939999998</v>
      </c>
      <c r="Q5" s="53">
        <v>27071465.559999999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4" t="s">
        <v>27</v>
      </c>
      <c r="D6" s="42">
        <v>0.81</v>
      </c>
      <c r="E6" s="42">
        <v>0.75</v>
      </c>
      <c r="F6" s="42">
        <v>0.52</v>
      </c>
      <c r="G6" s="55">
        <f t="shared" si="0"/>
        <v>3</v>
      </c>
      <c r="H6" s="68">
        <v>-31620131.649999999</v>
      </c>
      <c r="I6" s="53">
        <v>12629881.439999999</v>
      </c>
      <c r="J6" s="55">
        <f>IF(I6&lt;0,1,0)+IF(H6&lt;0,1,0)</f>
        <v>1</v>
      </c>
      <c r="K6" s="51">
        <f>SUM(I6/7)</f>
        <v>1804268.777142857</v>
      </c>
      <c r="L6" s="45">
        <f>+H6/K6</f>
        <v>-17.52517809462509</v>
      </c>
      <c r="M6" s="42">
        <f t="shared" ref="M6:M20" si="3">IF(AND(I6&lt;0,H6&lt;0),2,IF(AND(I6&gt;0,H6&gt;0),0,IF(AND(H6&lt;0,I6&gt;0),IF(ABS((H6/(I6/7)))&lt;3,0,IF(ABS((H6/(I6/7)))&gt;6,2,1)),IF(AND(H6&gt;0,I6&lt;0),IF(ABS((H6/(I6/7)))&lt;3,2,IF(ABS((H6/(I6/7)))&gt;6,0,1))))))</f>
        <v>2</v>
      </c>
      <c r="N6" s="46">
        <f>SUM(G6+J6+M6)</f>
        <v>6</v>
      </c>
      <c r="O6" s="46">
        <f>มี.ค.63!N6</f>
        <v>6</v>
      </c>
      <c r="P6" s="100">
        <v>32531647.34</v>
      </c>
      <c r="Q6" s="68">
        <v>-81430503.629999995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4" t="s">
        <v>26</v>
      </c>
      <c r="D7" s="42">
        <v>1.29</v>
      </c>
      <c r="E7" s="47">
        <v>1.1299999999999999</v>
      </c>
      <c r="F7" s="47">
        <v>0.88</v>
      </c>
      <c r="G7" s="42">
        <f t="shared" si="0"/>
        <v>1</v>
      </c>
      <c r="H7" s="53">
        <v>8749452.7100000009</v>
      </c>
      <c r="I7" s="53">
        <v>6535929.0499999998</v>
      </c>
      <c r="J7" s="47">
        <f t="shared" si="1"/>
        <v>0</v>
      </c>
      <c r="K7" s="51">
        <f>SUM(I7/7)</f>
        <v>933704.15</v>
      </c>
      <c r="L7" s="45">
        <f t="shared" ref="L7:L20" si="4">+H7/K7</f>
        <v>9.3706906090114312</v>
      </c>
      <c r="M7" s="43">
        <f t="shared" si="3"/>
        <v>0</v>
      </c>
      <c r="N7" s="46">
        <f t="shared" si="2"/>
        <v>1</v>
      </c>
      <c r="O7" s="46">
        <f>มี.ค.63!N7</f>
        <v>1</v>
      </c>
      <c r="P7" s="100">
        <v>7103227.8799999999</v>
      </c>
      <c r="Q7" s="68">
        <v>-3684005.82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4" t="s">
        <v>25</v>
      </c>
      <c r="D8" s="47">
        <v>1.92</v>
      </c>
      <c r="E8" s="47">
        <v>1.68</v>
      </c>
      <c r="F8" s="47">
        <v>1.35</v>
      </c>
      <c r="G8" s="66">
        <f t="shared" si="0"/>
        <v>0</v>
      </c>
      <c r="H8" s="53">
        <v>13394407.77</v>
      </c>
      <c r="I8" s="68">
        <v>-959326.13</v>
      </c>
      <c r="J8" s="55">
        <f t="shared" si="1"/>
        <v>1</v>
      </c>
      <c r="K8" s="59">
        <f t="shared" ref="K8:K19" si="5">SUM(I8/7)</f>
        <v>-137046.59</v>
      </c>
      <c r="L8" s="45">
        <f t="shared" si="4"/>
        <v>-97.736162351795841</v>
      </c>
      <c r="M8" s="43">
        <f t="shared" si="3"/>
        <v>0</v>
      </c>
      <c r="N8" s="46">
        <f t="shared" si="2"/>
        <v>1</v>
      </c>
      <c r="O8" s="46">
        <f>มี.ค.63!N8</f>
        <v>0</v>
      </c>
      <c r="P8" s="100">
        <v>4969031.67</v>
      </c>
      <c r="Q8" s="53">
        <v>5064716.1100000003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4" t="s">
        <v>24</v>
      </c>
      <c r="D9" s="47">
        <v>1.69</v>
      </c>
      <c r="E9" s="47">
        <v>1.47</v>
      </c>
      <c r="F9" s="47">
        <v>1.32</v>
      </c>
      <c r="G9" s="47">
        <f t="shared" si="0"/>
        <v>0</v>
      </c>
      <c r="H9" s="53">
        <v>14339844.26</v>
      </c>
      <c r="I9" s="53">
        <v>6580530.6799999997</v>
      </c>
      <c r="J9" s="47">
        <f t="shared" si="1"/>
        <v>0</v>
      </c>
      <c r="K9" s="51">
        <f t="shared" si="5"/>
        <v>940075.81142857135</v>
      </c>
      <c r="L9" s="45">
        <f t="shared" si="4"/>
        <v>15.253923232221753</v>
      </c>
      <c r="M9" s="43">
        <f t="shared" si="3"/>
        <v>0</v>
      </c>
      <c r="N9" s="46">
        <f t="shared" si="2"/>
        <v>0</v>
      </c>
      <c r="O9" s="46">
        <f>มี.ค.63!N9</f>
        <v>0</v>
      </c>
      <c r="P9" s="100">
        <v>9598540.8499999996</v>
      </c>
      <c r="Q9" s="53">
        <v>6613496.7599999998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5" t="s">
        <v>23</v>
      </c>
      <c r="D10" s="42">
        <v>1.36</v>
      </c>
      <c r="E10" s="47">
        <v>1.28</v>
      </c>
      <c r="F10" s="47">
        <v>1.0900000000000001</v>
      </c>
      <c r="G10" s="42">
        <f t="shared" si="0"/>
        <v>1</v>
      </c>
      <c r="H10" s="53">
        <v>7276637.4400000004</v>
      </c>
      <c r="I10" s="53">
        <v>3810033.97</v>
      </c>
      <c r="J10" s="47">
        <f t="shared" si="1"/>
        <v>0</v>
      </c>
      <c r="K10" s="51">
        <f t="shared" si="5"/>
        <v>544290.56714285712</v>
      </c>
      <c r="L10" s="45">
        <f t="shared" si="4"/>
        <v>13.369030953810631</v>
      </c>
      <c r="M10" s="43">
        <f t="shared" si="3"/>
        <v>0</v>
      </c>
      <c r="N10" s="46">
        <f t="shared" si="2"/>
        <v>1</v>
      </c>
      <c r="O10" s="46">
        <f>มี.ค.63!N10</f>
        <v>1</v>
      </c>
      <c r="P10" s="100">
        <v>4709407.2300000004</v>
      </c>
      <c r="Q10" s="53">
        <v>1826033.18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5" t="s">
        <v>22</v>
      </c>
      <c r="D11" s="42">
        <v>1.37</v>
      </c>
      <c r="E11" s="57">
        <v>1.2</v>
      </c>
      <c r="F11" s="47">
        <v>0.89</v>
      </c>
      <c r="G11" s="42">
        <f t="shared" si="0"/>
        <v>1</v>
      </c>
      <c r="H11" s="53">
        <v>20960279.66</v>
      </c>
      <c r="I11" s="53">
        <v>18550759.350000001</v>
      </c>
      <c r="J11" s="47">
        <f t="shared" si="1"/>
        <v>0</v>
      </c>
      <c r="K11" s="51">
        <f t="shared" si="5"/>
        <v>2650108.4785714289</v>
      </c>
      <c r="L11" s="45">
        <f t="shared" si="4"/>
        <v>7.9092157281421462</v>
      </c>
      <c r="M11" s="43">
        <f t="shared" si="3"/>
        <v>0</v>
      </c>
      <c r="N11" s="46">
        <f t="shared" si="2"/>
        <v>1</v>
      </c>
      <c r="O11" s="46">
        <f>มี.ค.63!N11</f>
        <v>0</v>
      </c>
      <c r="P11" s="100">
        <v>18047919.510000002</v>
      </c>
      <c r="Q11" s="68">
        <v>-6674069.0700000003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5" t="s">
        <v>21</v>
      </c>
      <c r="D12" s="42">
        <v>1.38</v>
      </c>
      <c r="E12" s="47">
        <v>1.21</v>
      </c>
      <c r="F12" s="47">
        <v>0.92</v>
      </c>
      <c r="G12" s="42">
        <f t="shared" si="0"/>
        <v>1</v>
      </c>
      <c r="H12" s="53">
        <v>12608819.039999999</v>
      </c>
      <c r="I12" s="53">
        <v>8533396.1600000001</v>
      </c>
      <c r="J12" s="47">
        <f t="shared" si="1"/>
        <v>0</v>
      </c>
      <c r="K12" s="51">
        <f t="shared" si="5"/>
        <v>1219056.5942857142</v>
      </c>
      <c r="L12" s="45">
        <f t="shared" si="4"/>
        <v>10.343095717707778</v>
      </c>
      <c r="M12" s="43">
        <f t="shared" si="3"/>
        <v>0</v>
      </c>
      <c r="N12" s="46">
        <f t="shared" si="2"/>
        <v>1</v>
      </c>
      <c r="O12" s="46">
        <f>มี.ค.63!N12</f>
        <v>1</v>
      </c>
      <c r="P12" s="100">
        <v>8570306.1099999994</v>
      </c>
      <c r="Q12" s="68">
        <v>-2562794.7799999998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5" t="s">
        <v>20</v>
      </c>
      <c r="D13" s="42">
        <v>1.41</v>
      </c>
      <c r="E13" s="47">
        <v>1.31</v>
      </c>
      <c r="F13" s="47">
        <v>1.1499999999999999</v>
      </c>
      <c r="G13" s="42">
        <f t="shared" si="0"/>
        <v>1</v>
      </c>
      <c r="H13" s="53">
        <v>12496354.720000001</v>
      </c>
      <c r="I13" s="53">
        <v>8198526.3700000001</v>
      </c>
      <c r="J13" s="47">
        <f t="shared" si="1"/>
        <v>0</v>
      </c>
      <c r="K13" s="51">
        <f t="shared" si="5"/>
        <v>1171218.0528571429</v>
      </c>
      <c r="L13" s="45">
        <f t="shared" si="4"/>
        <v>10.669537315887172</v>
      </c>
      <c r="M13" s="43">
        <f t="shared" si="3"/>
        <v>0</v>
      </c>
      <c r="N13" s="46">
        <f t="shared" si="2"/>
        <v>1</v>
      </c>
      <c r="O13" s="46">
        <f>มี.ค.63!N13</f>
        <v>1</v>
      </c>
      <c r="P13" s="100">
        <v>10457563.220000001</v>
      </c>
      <c r="Q13" s="53">
        <v>4671370.0599999996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5" t="s">
        <v>19</v>
      </c>
      <c r="D14" s="47">
        <v>2.15</v>
      </c>
      <c r="E14" s="47">
        <v>1.93</v>
      </c>
      <c r="F14" s="47">
        <v>1.47</v>
      </c>
      <c r="G14" s="47">
        <f t="shared" si="0"/>
        <v>0</v>
      </c>
      <c r="H14" s="53">
        <v>23443057.52</v>
      </c>
      <c r="I14" s="67">
        <v>14016249.58</v>
      </c>
      <c r="J14" s="47">
        <f t="shared" si="1"/>
        <v>0</v>
      </c>
      <c r="K14" s="51">
        <f t="shared" si="5"/>
        <v>2002321.3685714286</v>
      </c>
      <c r="L14" s="45">
        <f t="shared" si="4"/>
        <v>11.707939538559501</v>
      </c>
      <c r="M14" s="43">
        <f t="shared" si="3"/>
        <v>0</v>
      </c>
      <c r="N14" s="46">
        <f t="shared" si="2"/>
        <v>0</v>
      </c>
      <c r="O14" s="46">
        <f>มี.ค.63!N14</f>
        <v>0</v>
      </c>
      <c r="P14" s="100">
        <v>14386029.050000001</v>
      </c>
      <c r="Q14" s="53">
        <v>9479328.0899999999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5" t="s">
        <v>18</v>
      </c>
      <c r="D15" s="57">
        <v>2.2000000000000002</v>
      </c>
      <c r="E15" s="47">
        <v>1.94</v>
      </c>
      <c r="F15" s="47">
        <v>1.63</v>
      </c>
      <c r="G15" s="47">
        <f t="shared" si="0"/>
        <v>0</v>
      </c>
      <c r="H15" s="53">
        <v>20180822.559999999</v>
      </c>
      <c r="I15" s="53">
        <v>17257196.050000001</v>
      </c>
      <c r="J15" s="47">
        <f t="shared" si="1"/>
        <v>0</v>
      </c>
      <c r="K15" s="51">
        <f t="shared" si="5"/>
        <v>2465313.7214285717</v>
      </c>
      <c r="L15" s="45">
        <f t="shared" si="4"/>
        <v>8.1859044488284631</v>
      </c>
      <c r="M15" s="43">
        <f t="shared" si="3"/>
        <v>0</v>
      </c>
      <c r="N15" s="46">
        <f t="shared" si="2"/>
        <v>0</v>
      </c>
      <c r="O15" s="46">
        <f>มี.ค.63!N15</f>
        <v>0</v>
      </c>
      <c r="P15" s="100">
        <v>12488639.66</v>
      </c>
      <c r="Q15" s="53">
        <v>10545405.91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5" t="s">
        <v>17</v>
      </c>
      <c r="D16" s="47">
        <v>3.65</v>
      </c>
      <c r="E16" s="47">
        <v>2.83</v>
      </c>
      <c r="F16" s="57">
        <v>2.5</v>
      </c>
      <c r="G16" s="47">
        <f t="shared" si="0"/>
        <v>0</v>
      </c>
      <c r="H16" s="53">
        <v>69268752.450000003</v>
      </c>
      <c r="I16" s="53">
        <v>29024019.48</v>
      </c>
      <c r="J16" s="47">
        <f t="shared" si="1"/>
        <v>0</v>
      </c>
      <c r="K16" s="51">
        <f t="shared" si="5"/>
        <v>4146288.4971428574</v>
      </c>
      <c r="L16" s="45">
        <f t="shared" si="4"/>
        <v>16.706206646674975</v>
      </c>
      <c r="M16" s="43">
        <f t="shared" si="3"/>
        <v>0</v>
      </c>
      <c r="N16" s="46">
        <f t="shared" si="2"/>
        <v>0</v>
      </c>
      <c r="O16" s="46">
        <f>มี.ค.63!N16</f>
        <v>0</v>
      </c>
      <c r="P16" s="100">
        <v>23155288.18</v>
      </c>
      <c r="Q16" s="53">
        <v>39241375.659999996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5" t="s">
        <v>16</v>
      </c>
      <c r="D17" s="57">
        <v>2.1</v>
      </c>
      <c r="E17" s="47">
        <v>1.87</v>
      </c>
      <c r="F17" s="57">
        <v>1.7</v>
      </c>
      <c r="G17" s="47">
        <f t="shared" si="0"/>
        <v>0</v>
      </c>
      <c r="H17" s="53">
        <v>7441328.6100000003</v>
      </c>
      <c r="I17" s="53">
        <v>4267063.41</v>
      </c>
      <c r="J17" s="47">
        <f t="shared" si="1"/>
        <v>0</v>
      </c>
      <c r="K17" s="51">
        <f t="shared" si="5"/>
        <v>609580.48714285716</v>
      </c>
      <c r="L17" s="45">
        <f t="shared" si="4"/>
        <v>12.207294634508372</v>
      </c>
      <c r="M17" s="43">
        <f t="shared" si="3"/>
        <v>0</v>
      </c>
      <c r="N17" s="46">
        <f t="shared" si="2"/>
        <v>0</v>
      </c>
      <c r="O17" s="46">
        <f>มี.ค.63!N17</f>
        <v>0</v>
      </c>
      <c r="P17" s="100">
        <v>5213316.9400000004</v>
      </c>
      <c r="Q17" s="53">
        <v>4709910.8499999996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5" t="s">
        <v>15</v>
      </c>
      <c r="D18" s="42">
        <v>1.43</v>
      </c>
      <c r="E18" s="47">
        <v>1.23</v>
      </c>
      <c r="F18" s="47">
        <v>0.92</v>
      </c>
      <c r="G18" s="42">
        <f t="shared" si="0"/>
        <v>1</v>
      </c>
      <c r="H18" s="53">
        <v>10074197.49</v>
      </c>
      <c r="I18" s="53">
        <v>4821478.58</v>
      </c>
      <c r="J18" s="47">
        <f t="shared" si="1"/>
        <v>0</v>
      </c>
      <c r="K18" s="51">
        <f t="shared" si="5"/>
        <v>688782.65428571426</v>
      </c>
      <c r="L18" s="45">
        <f t="shared" si="4"/>
        <v>14.626090577799477</v>
      </c>
      <c r="M18" s="43">
        <f t="shared" si="3"/>
        <v>0</v>
      </c>
      <c r="N18" s="46">
        <f t="shared" si="2"/>
        <v>1</v>
      </c>
      <c r="O18" s="46">
        <f>มี.ค.63!N18</f>
        <v>1</v>
      </c>
      <c r="P18" s="100">
        <v>9003668.0800000001</v>
      </c>
      <c r="Q18" s="68">
        <v>-1922258.86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5" t="s">
        <v>14</v>
      </c>
      <c r="D19" s="42">
        <v>1.45</v>
      </c>
      <c r="E19" s="47">
        <v>1.32</v>
      </c>
      <c r="F19" s="57">
        <v>0.9</v>
      </c>
      <c r="G19" s="42">
        <f t="shared" si="0"/>
        <v>1</v>
      </c>
      <c r="H19" s="53">
        <v>6850204.2800000003</v>
      </c>
      <c r="I19" s="53">
        <v>11961953.67</v>
      </c>
      <c r="J19" s="47">
        <f t="shared" si="1"/>
        <v>0</v>
      </c>
      <c r="K19" s="51">
        <f t="shared" si="5"/>
        <v>1708850.5242857144</v>
      </c>
      <c r="L19" s="45">
        <f t="shared" si="4"/>
        <v>4.0086620699978015</v>
      </c>
      <c r="M19" s="43">
        <f t="shared" si="3"/>
        <v>0</v>
      </c>
      <c r="N19" s="46">
        <f t="shared" si="2"/>
        <v>1</v>
      </c>
      <c r="O19" s="46">
        <f>มี.ค.63!N19</f>
        <v>2</v>
      </c>
      <c r="P19" s="100">
        <v>13775544.34</v>
      </c>
      <c r="Q19" s="68">
        <v>-1478858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4" t="s">
        <v>13</v>
      </c>
      <c r="D20" s="47">
        <v>1.58</v>
      </c>
      <c r="E20" s="47">
        <v>1.37</v>
      </c>
      <c r="F20" s="47">
        <v>1.0900000000000001</v>
      </c>
      <c r="G20" s="47">
        <f t="shared" si="0"/>
        <v>0</v>
      </c>
      <c r="H20" s="53">
        <v>5590344.75</v>
      </c>
      <c r="I20" s="68">
        <v>-41537.599999999999</v>
      </c>
      <c r="J20" s="42">
        <f t="shared" si="1"/>
        <v>1</v>
      </c>
      <c r="K20" s="59">
        <f>SUM(I20/7)</f>
        <v>-5933.9428571428571</v>
      </c>
      <c r="L20" s="45">
        <f t="shared" si="4"/>
        <v>-942.09615504988255</v>
      </c>
      <c r="M20" s="43">
        <f t="shared" si="3"/>
        <v>0</v>
      </c>
      <c r="N20" s="46">
        <f t="shared" si="2"/>
        <v>1</v>
      </c>
      <c r="O20" s="46">
        <f>มี.ค.63!N20</f>
        <v>0</v>
      </c>
      <c r="P20" s="100">
        <v>1355926.98</v>
      </c>
      <c r="Q20" s="53">
        <v>846541.59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8" t="s">
        <v>5</v>
      </c>
      <c r="M23" s="128"/>
      <c r="N23" s="128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8"/>
      <c r="M24" s="128"/>
      <c r="N24" s="128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8" t="s">
        <v>5</v>
      </c>
      <c r="M25" s="128"/>
      <c r="N25" s="128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8"/>
      <c r="M26" s="128"/>
      <c r="N26" s="128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9" t="s">
        <v>5</v>
      </c>
      <c r="L27" s="129"/>
      <c r="M27" s="62"/>
      <c r="N27" s="6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8" t="s">
        <v>5</v>
      </c>
      <c r="M30" s="128"/>
      <c r="N30" s="128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8"/>
      <c r="M31" s="128"/>
      <c r="N31" s="128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2" sqref="P2:P4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2.710937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31" t="s">
        <v>74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P1" s="99" t="s">
        <v>53</v>
      </c>
      <c r="Q1" s="92">
        <v>242325</v>
      </c>
    </row>
    <row r="2" spans="1:25" ht="54.75" customHeight="1" thickBot="1">
      <c r="C2" s="132" t="s">
        <v>41</v>
      </c>
      <c r="D2" s="133" t="s">
        <v>40</v>
      </c>
      <c r="E2" s="133"/>
      <c r="F2" s="133"/>
      <c r="G2" s="133"/>
      <c r="H2" s="134" t="s">
        <v>39</v>
      </c>
      <c r="I2" s="134"/>
      <c r="J2" s="134"/>
      <c r="K2" s="135" t="s">
        <v>38</v>
      </c>
      <c r="L2" s="135"/>
      <c r="M2" s="135"/>
      <c r="N2" s="136" t="s">
        <v>75</v>
      </c>
      <c r="O2" s="147" t="s">
        <v>76</v>
      </c>
      <c r="P2" s="144" t="s">
        <v>92</v>
      </c>
      <c r="Q2" s="138" t="s">
        <v>37</v>
      </c>
    </row>
    <row r="3" spans="1:25" ht="38.25" customHeight="1" thickBot="1">
      <c r="C3" s="132"/>
      <c r="D3" s="139" t="s">
        <v>36</v>
      </c>
      <c r="E3" s="139" t="s">
        <v>35</v>
      </c>
      <c r="F3" s="139" t="s">
        <v>34</v>
      </c>
      <c r="G3" s="140" t="s">
        <v>29</v>
      </c>
      <c r="H3" s="141" t="s">
        <v>33</v>
      </c>
      <c r="I3" s="132" t="s">
        <v>32</v>
      </c>
      <c r="J3" s="142" t="s">
        <v>29</v>
      </c>
      <c r="K3" s="143" t="s">
        <v>31</v>
      </c>
      <c r="L3" s="132" t="s">
        <v>30</v>
      </c>
      <c r="M3" s="137" t="s">
        <v>29</v>
      </c>
      <c r="N3" s="136"/>
      <c r="O3" s="147"/>
      <c r="P3" s="145"/>
      <c r="Q3" s="138"/>
    </row>
    <row r="4" spans="1:25" ht="36.75" customHeight="1" thickBot="1">
      <c r="C4" s="132"/>
      <c r="D4" s="139"/>
      <c r="E4" s="139"/>
      <c r="F4" s="139"/>
      <c r="G4" s="140"/>
      <c r="H4" s="141"/>
      <c r="I4" s="132"/>
      <c r="J4" s="142"/>
      <c r="K4" s="143"/>
      <c r="L4" s="132"/>
      <c r="M4" s="137"/>
      <c r="N4" s="136"/>
      <c r="O4" s="147"/>
      <c r="P4" s="146"/>
      <c r="Q4" s="13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4" t="s">
        <v>28</v>
      </c>
      <c r="D5" s="57">
        <v>3.26</v>
      </c>
      <c r="E5" s="57">
        <v>3</v>
      </c>
      <c r="F5" s="57">
        <v>0.98</v>
      </c>
      <c r="G5" s="47">
        <f t="shared" ref="G5:G20" si="0">(IF(D5&lt;1.5,1,0))+(IF(E5&lt;1,1,0))+(IF(F5&lt;0.8,1,0))</f>
        <v>0</v>
      </c>
      <c r="H5" s="53">
        <v>502758700.19999999</v>
      </c>
      <c r="I5" s="53">
        <v>26738157.91</v>
      </c>
      <c r="J5" s="47">
        <f t="shared" ref="J5:J20" si="1">IF(I5&lt;0,1,0)+IF(H5&lt;0,1,0)</f>
        <v>0</v>
      </c>
      <c r="K5" s="51">
        <f>SUM(I5/8)</f>
        <v>3342269.73875</v>
      </c>
      <c r="L5" s="45">
        <f>+H5/K5</f>
        <v>150.42433420949155</v>
      </c>
      <c r="M5" s="43">
        <f>IF(AND(I5&lt;0,H5&lt;0),2,IF(AND(I5&gt;0,H5&gt;0),0,IF(AND(H5&lt;0,I5&gt;0),IF(ABS((H5/(I5/8)))&lt;3,0,IF(ABS((H5/(I5/8)))&gt;6,2,1)),IF(AND(H5&gt;0,I5&lt;0),IF(ABS((H5/(I5/8)))&lt;3,2,IF(ABS((H5/(I5/8)))&gt;6,0,1))))))</f>
        <v>0</v>
      </c>
      <c r="N5" s="46">
        <f t="shared" ref="N5:N20" si="2">SUM(G5+J5+M5)</f>
        <v>0</v>
      </c>
      <c r="O5" s="46">
        <f>เม.ย.63!N5</f>
        <v>0</v>
      </c>
      <c r="P5" s="100">
        <v>72895594.569999993</v>
      </c>
      <c r="Q5" s="68">
        <v>-3286571.86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4" t="s">
        <v>27</v>
      </c>
      <c r="D6" s="98">
        <v>0.77</v>
      </c>
      <c r="E6" s="57">
        <v>0.7</v>
      </c>
      <c r="F6" s="57">
        <v>0.49</v>
      </c>
      <c r="G6" s="55">
        <f t="shared" si="0"/>
        <v>3</v>
      </c>
      <c r="H6" s="68">
        <v>-39762715.520000003</v>
      </c>
      <c r="I6" s="53">
        <v>4010002.46</v>
      </c>
      <c r="J6" s="55">
        <f>IF(I6&lt;0,1,0)+IF(H6&lt;0,1,0)</f>
        <v>1</v>
      </c>
      <c r="K6" s="51">
        <f t="shared" ref="K6:K20" si="3">SUM(I6/8)</f>
        <v>501250.3075</v>
      </c>
      <c r="L6" s="45">
        <f>+H6/K6</f>
        <v>-79.327064592374342</v>
      </c>
      <c r="M6" s="42">
        <f t="shared" ref="M6:M20" si="4">IF(AND(I6&lt;0,H6&lt;0),2,IF(AND(I6&gt;0,H6&gt;0),0,IF(AND(H6&lt;0,I6&gt;0),IF(ABS((H6/(I6/8)))&lt;3,0,IF(ABS((H6/(I6/8)))&gt;6,2,1)),IF(AND(H6&gt;0,I6&lt;0),IF(ABS((H6/(I6/8)))&lt;3,2,IF(ABS((H6/(I6/8)))&gt;6,0,1))))))</f>
        <v>2</v>
      </c>
      <c r="N6" s="46">
        <f>SUM(G6+J6+M6)</f>
        <v>6</v>
      </c>
      <c r="O6" s="46">
        <f>เม.ย.63!N6</f>
        <v>6</v>
      </c>
      <c r="P6" s="100">
        <v>28177355.100000001</v>
      </c>
      <c r="Q6" s="68">
        <v>-86160765.620000005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4" t="s">
        <v>26</v>
      </c>
      <c r="D7" s="98">
        <v>1.2</v>
      </c>
      <c r="E7" s="57">
        <v>1.01</v>
      </c>
      <c r="F7" s="57">
        <v>0.78</v>
      </c>
      <c r="G7" s="42">
        <f t="shared" si="0"/>
        <v>2</v>
      </c>
      <c r="H7" s="53">
        <v>6328068.5700000003</v>
      </c>
      <c r="I7" s="53">
        <v>4222277.0199999996</v>
      </c>
      <c r="J7" s="47">
        <f t="shared" si="1"/>
        <v>0</v>
      </c>
      <c r="K7" s="51">
        <f t="shared" si="3"/>
        <v>527784.62749999994</v>
      </c>
      <c r="L7" s="45">
        <f t="shared" ref="L7:L20" si="5">+H7/K7</f>
        <v>11.989869049378482</v>
      </c>
      <c r="M7" s="43">
        <f t="shared" si="4"/>
        <v>0</v>
      </c>
      <c r="N7" s="46">
        <f t="shared" si="2"/>
        <v>2</v>
      </c>
      <c r="O7" s="46">
        <f>เม.ย.63!N7</f>
        <v>1</v>
      </c>
      <c r="P7" s="100">
        <v>5066618.54</v>
      </c>
      <c r="Q7" s="68">
        <v>-6866324.2800000003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4" t="s">
        <v>25</v>
      </c>
      <c r="D8" s="57">
        <v>1.8</v>
      </c>
      <c r="E8" s="57">
        <v>1.56</v>
      </c>
      <c r="F8" s="57">
        <v>1.25</v>
      </c>
      <c r="G8" s="66">
        <f t="shared" si="0"/>
        <v>0</v>
      </c>
      <c r="H8" s="53">
        <v>12003439.18</v>
      </c>
      <c r="I8" s="68">
        <v>-3081482.32</v>
      </c>
      <c r="J8" s="55">
        <f t="shared" si="1"/>
        <v>1</v>
      </c>
      <c r="K8" s="59">
        <f t="shared" si="3"/>
        <v>-385185.29</v>
      </c>
      <c r="L8" s="45">
        <f t="shared" si="5"/>
        <v>-31.162766314362628</v>
      </c>
      <c r="M8" s="43">
        <f t="shared" si="4"/>
        <v>0</v>
      </c>
      <c r="N8" s="46">
        <f t="shared" si="2"/>
        <v>1</v>
      </c>
      <c r="O8" s="46">
        <f>เม.ย.63!N8</f>
        <v>1</v>
      </c>
      <c r="P8" s="100">
        <v>3859127.38</v>
      </c>
      <c r="Q8" s="53">
        <v>3650077.01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4" t="s">
        <v>24</v>
      </c>
      <c r="D9" s="57">
        <v>1.62</v>
      </c>
      <c r="E9" s="57">
        <v>1.38</v>
      </c>
      <c r="F9" s="57">
        <v>1.24</v>
      </c>
      <c r="G9" s="47">
        <f t="shared" si="0"/>
        <v>0</v>
      </c>
      <c r="H9" s="53">
        <v>12713446.32</v>
      </c>
      <c r="I9" s="53">
        <v>4133638.43</v>
      </c>
      <c r="J9" s="47">
        <f t="shared" si="1"/>
        <v>0</v>
      </c>
      <c r="K9" s="51">
        <f t="shared" si="3"/>
        <v>516704.80375000002</v>
      </c>
      <c r="L9" s="45">
        <f t="shared" si="5"/>
        <v>24.604854121215435</v>
      </c>
      <c r="M9" s="43">
        <f t="shared" si="4"/>
        <v>0</v>
      </c>
      <c r="N9" s="46">
        <f t="shared" si="2"/>
        <v>0</v>
      </c>
      <c r="O9" s="46">
        <f>เม.ย.63!N9</f>
        <v>0</v>
      </c>
      <c r="P9" s="100">
        <v>7582792.9100000001</v>
      </c>
      <c r="Q9" s="53">
        <v>4924277.49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5" t="s">
        <v>23</v>
      </c>
      <c r="D10" s="57">
        <v>1.32</v>
      </c>
      <c r="E10" s="57">
        <v>1.23</v>
      </c>
      <c r="F10" s="57">
        <v>1.02</v>
      </c>
      <c r="G10" s="42">
        <f t="shared" si="0"/>
        <v>1</v>
      </c>
      <c r="H10" s="53">
        <v>6616955.7800000003</v>
      </c>
      <c r="I10" s="53">
        <v>2869333.21</v>
      </c>
      <c r="J10" s="47">
        <f t="shared" si="1"/>
        <v>0</v>
      </c>
      <c r="K10" s="51">
        <f t="shared" si="3"/>
        <v>358666.65125</v>
      </c>
      <c r="L10" s="45">
        <f t="shared" si="5"/>
        <v>18.448762261389643</v>
      </c>
      <c r="M10" s="43">
        <f t="shared" si="4"/>
        <v>0</v>
      </c>
      <c r="N10" s="46">
        <f t="shared" si="2"/>
        <v>1</v>
      </c>
      <c r="O10" s="46">
        <f>เม.ย.63!N10</f>
        <v>1</v>
      </c>
      <c r="P10" s="100">
        <v>4018131.83</v>
      </c>
      <c r="Q10" s="53">
        <v>435750.39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5" t="s">
        <v>22</v>
      </c>
      <c r="D11" s="57">
        <v>1.28</v>
      </c>
      <c r="E11" s="57">
        <v>1.1399999999999999</v>
      </c>
      <c r="F11" s="57">
        <v>0.82</v>
      </c>
      <c r="G11" s="42">
        <f t="shared" si="0"/>
        <v>1</v>
      </c>
      <c r="H11" s="53">
        <v>17240368.809999999</v>
      </c>
      <c r="I11" s="53">
        <v>24767435.530000001</v>
      </c>
      <c r="J11" s="47">
        <f t="shared" si="1"/>
        <v>0</v>
      </c>
      <c r="K11" s="51">
        <f t="shared" si="3"/>
        <v>3095929.4412500001</v>
      </c>
      <c r="L11" s="45">
        <f t="shared" si="5"/>
        <v>5.5687214896729351</v>
      </c>
      <c r="M11" s="43">
        <f t="shared" si="4"/>
        <v>0</v>
      </c>
      <c r="N11" s="46">
        <f t="shared" si="2"/>
        <v>1</v>
      </c>
      <c r="O11" s="46">
        <f>เม.ย.63!N11</f>
        <v>1</v>
      </c>
      <c r="P11" s="100">
        <v>24469813.59</v>
      </c>
      <c r="Q11" s="68">
        <v>-11373826.75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5" t="s">
        <v>21</v>
      </c>
      <c r="D12" s="57">
        <v>1.32</v>
      </c>
      <c r="E12" s="57">
        <v>1.1499999999999999</v>
      </c>
      <c r="F12" s="57">
        <v>0.89</v>
      </c>
      <c r="G12" s="42">
        <f t="shared" si="0"/>
        <v>1</v>
      </c>
      <c r="H12" s="53">
        <v>10825317.84</v>
      </c>
      <c r="I12" s="53">
        <v>6471321.2300000004</v>
      </c>
      <c r="J12" s="47">
        <f t="shared" si="1"/>
        <v>0</v>
      </c>
      <c r="K12" s="51">
        <f t="shared" si="3"/>
        <v>808915.15375000006</v>
      </c>
      <c r="L12" s="45">
        <f t="shared" si="5"/>
        <v>13.382513344960314</v>
      </c>
      <c r="M12" s="43">
        <f t="shared" si="4"/>
        <v>0</v>
      </c>
      <c r="N12" s="46">
        <f t="shared" si="2"/>
        <v>1</v>
      </c>
      <c r="O12" s="46">
        <f>เม.ย.63!N12</f>
        <v>1</v>
      </c>
      <c r="P12" s="100">
        <v>6733461.21</v>
      </c>
      <c r="Q12" s="68">
        <v>-3571868.27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5" t="s">
        <v>20</v>
      </c>
      <c r="D13" s="57">
        <v>1.33</v>
      </c>
      <c r="E13" s="57">
        <v>1.22</v>
      </c>
      <c r="F13" s="57">
        <v>1.0900000000000001</v>
      </c>
      <c r="G13" s="42">
        <f t="shared" si="0"/>
        <v>1</v>
      </c>
      <c r="H13" s="53">
        <v>9839595.5800000001</v>
      </c>
      <c r="I13" s="53">
        <v>4986266.99</v>
      </c>
      <c r="J13" s="47">
        <f t="shared" si="1"/>
        <v>0</v>
      </c>
      <c r="K13" s="51">
        <f t="shared" si="3"/>
        <v>623283.37375000003</v>
      </c>
      <c r="L13" s="45">
        <f t="shared" si="5"/>
        <v>15.786712744798288</v>
      </c>
      <c r="M13" s="43">
        <f t="shared" si="4"/>
        <v>0</v>
      </c>
      <c r="N13" s="46">
        <f t="shared" si="2"/>
        <v>1</v>
      </c>
      <c r="O13" s="46">
        <f>เม.ย.63!N13</f>
        <v>1</v>
      </c>
      <c r="P13" s="100">
        <v>7728327.0800000001</v>
      </c>
      <c r="Q13" s="53">
        <v>2585480.2000000002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5" t="s">
        <v>19</v>
      </c>
      <c r="D14" s="57">
        <v>2.04</v>
      </c>
      <c r="E14" s="57">
        <v>1.82</v>
      </c>
      <c r="F14" s="57">
        <v>1.44</v>
      </c>
      <c r="G14" s="47">
        <f t="shared" si="0"/>
        <v>0</v>
      </c>
      <c r="H14" s="53">
        <v>21220005.02</v>
      </c>
      <c r="I14" s="53">
        <v>11729565.75</v>
      </c>
      <c r="J14" s="47">
        <f t="shared" si="1"/>
        <v>0</v>
      </c>
      <c r="K14" s="51">
        <f t="shared" si="3"/>
        <v>1466195.71875</v>
      </c>
      <c r="L14" s="45">
        <f t="shared" si="5"/>
        <v>14.472832479753139</v>
      </c>
      <c r="M14" s="43">
        <f t="shared" si="4"/>
        <v>0</v>
      </c>
      <c r="N14" s="46">
        <f t="shared" si="2"/>
        <v>0</v>
      </c>
      <c r="O14" s="46">
        <f>เม.ย.63!N14</f>
        <v>0</v>
      </c>
      <c r="P14" s="100">
        <v>12319330.539999999</v>
      </c>
      <c r="Q14" s="53">
        <v>8906487.2899999991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5" t="s">
        <v>18</v>
      </c>
      <c r="D15" s="57">
        <v>2.0299999999999998</v>
      </c>
      <c r="E15" s="57">
        <v>1.74</v>
      </c>
      <c r="F15" s="57">
        <v>1.46</v>
      </c>
      <c r="G15" s="47">
        <f t="shared" si="0"/>
        <v>0</v>
      </c>
      <c r="H15" s="53">
        <v>18243083.489999998</v>
      </c>
      <c r="I15" s="53">
        <v>15397882.07</v>
      </c>
      <c r="J15" s="47">
        <f t="shared" si="1"/>
        <v>0</v>
      </c>
      <c r="K15" s="51">
        <f t="shared" si="3"/>
        <v>1924735.25875</v>
      </c>
      <c r="L15" s="45">
        <f t="shared" si="5"/>
        <v>9.4782300095898826</v>
      </c>
      <c r="M15" s="43">
        <f t="shared" si="4"/>
        <v>0</v>
      </c>
      <c r="N15" s="46">
        <f t="shared" si="2"/>
        <v>0</v>
      </c>
      <c r="O15" s="46">
        <f>เม.ย.63!N15</f>
        <v>0</v>
      </c>
      <c r="P15" s="100">
        <v>11055900.59</v>
      </c>
      <c r="Q15" s="53">
        <v>8158660.1100000003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5" t="s">
        <v>17</v>
      </c>
      <c r="D16" s="57">
        <v>3.55</v>
      </c>
      <c r="E16" s="57">
        <v>2.69</v>
      </c>
      <c r="F16" s="57">
        <v>2.36</v>
      </c>
      <c r="G16" s="47">
        <f t="shared" si="0"/>
        <v>0</v>
      </c>
      <c r="H16" s="53">
        <v>65259731.590000004</v>
      </c>
      <c r="I16" s="53">
        <v>24149763.460000001</v>
      </c>
      <c r="J16" s="47">
        <f t="shared" si="1"/>
        <v>0</v>
      </c>
      <c r="K16" s="51">
        <f t="shared" si="3"/>
        <v>3018720.4325000001</v>
      </c>
      <c r="L16" s="45">
        <f t="shared" si="5"/>
        <v>21.61834229079443</v>
      </c>
      <c r="M16" s="43">
        <f t="shared" si="4"/>
        <v>0</v>
      </c>
      <c r="N16" s="46">
        <f t="shared" si="2"/>
        <v>0</v>
      </c>
      <c r="O16" s="46">
        <f>เม.ย.63!N16</f>
        <v>0</v>
      </c>
      <c r="P16" s="100">
        <v>19515074.100000001</v>
      </c>
      <c r="Q16" s="53">
        <v>34829298.490000002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5" t="s">
        <v>16</v>
      </c>
      <c r="D17" s="57">
        <v>1.82</v>
      </c>
      <c r="E17" s="57">
        <v>1.59</v>
      </c>
      <c r="F17" s="57">
        <v>1.42</v>
      </c>
      <c r="G17" s="47">
        <f t="shared" si="0"/>
        <v>0</v>
      </c>
      <c r="H17" s="53">
        <v>5711071.7000000002</v>
      </c>
      <c r="I17" s="53">
        <v>2826983.27</v>
      </c>
      <c r="J17" s="47">
        <f t="shared" si="1"/>
        <v>0</v>
      </c>
      <c r="K17" s="51">
        <f t="shared" si="3"/>
        <v>353372.90875</v>
      </c>
      <c r="L17" s="45">
        <f t="shared" si="5"/>
        <v>16.161600277174614</v>
      </c>
      <c r="M17" s="43">
        <f t="shared" si="4"/>
        <v>0</v>
      </c>
      <c r="N17" s="46">
        <f t="shared" si="2"/>
        <v>0</v>
      </c>
      <c r="O17" s="46">
        <f>เม.ย.63!N17</f>
        <v>0</v>
      </c>
      <c r="P17" s="100">
        <v>4015670.74</v>
      </c>
      <c r="Q17" s="53">
        <v>2976906.76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5" t="s">
        <v>15</v>
      </c>
      <c r="D18" s="57">
        <v>1.31</v>
      </c>
      <c r="E18" s="57">
        <v>1.1100000000000001</v>
      </c>
      <c r="F18" s="57">
        <v>0.77</v>
      </c>
      <c r="G18" s="42">
        <f t="shared" si="0"/>
        <v>2</v>
      </c>
      <c r="H18" s="53">
        <v>7252404.8499999996</v>
      </c>
      <c r="I18" s="53">
        <v>1561596.78</v>
      </c>
      <c r="J18" s="47">
        <f t="shared" si="1"/>
        <v>0</v>
      </c>
      <c r="K18" s="51">
        <f t="shared" si="3"/>
        <v>195199.5975</v>
      </c>
      <c r="L18" s="45">
        <f t="shared" si="5"/>
        <v>37.153789981559768</v>
      </c>
      <c r="M18" s="43">
        <f t="shared" si="4"/>
        <v>0</v>
      </c>
      <c r="N18" s="46">
        <f t="shared" si="2"/>
        <v>2</v>
      </c>
      <c r="O18" s="46">
        <f>เม.ย.63!N18</f>
        <v>1</v>
      </c>
      <c r="P18" s="100">
        <v>6675373.6399999997</v>
      </c>
      <c r="Q18" s="68">
        <v>-5458703.5099999998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5" t="s">
        <v>14</v>
      </c>
      <c r="D19" s="57">
        <v>1.1100000000000001</v>
      </c>
      <c r="E19" s="57">
        <v>0.97</v>
      </c>
      <c r="F19" s="57">
        <v>0.53</v>
      </c>
      <c r="G19" s="42">
        <f t="shared" si="0"/>
        <v>3</v>
      </c>
      <c r="H19" s="53">
        <v>1771122.51</v>
      </c>
      <c r="I19" s="53">
        <v>11139842.529999999</v>
      </c>
      <c r="J19" s="47">
        <f t="shared" si="1"/>
        <v>0</v>
      </c>
      <c r="K19" s="51">
        <f t="shared" si="3"/>
        <v>1392480.3162499999</v>
      </c>
      <c r="L19" s="45">
        <f t="shared" si="5"/>
        <v>1.2719192431887993</v>
      </c>
      <c r="M19" s="43">
        <f t="shared" si="4"/>
        <v>0</v>
      </c>
      <c r="N19" s="46">
        <f t="shared" si="2"/>
        <v>3</v>
      </c>
      <c r="O19" s="46">
        <f>เม.ย.63!N19</f>
        <v>1</v>
      </c>
      <c r="P19" s="100">
        <v>13331843.49</v>
      </c>
      <c r="Q19" s="68">
        <v>-7412045.1500000004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4" t="s">
        <v>13</v>
      </c>
      <c r="D20" s="57">
        <v>1.38</v>
      </c>
      <c r="E20" s="57">
        <v>1.17</v>
      </c>
      <c r="F20" s="57">
        <v>0.93</v>
      </c>
      <c r="G20" s="42">
        <f t="shared" si="0"/>
        <v>1</v>
      </c>
      <c r="H20" s="53">
        <v>3735101.09</v>
      </c>
      <c r="I20" s="68">
        <v>-2310479.79</v>
      </c>
      <c r="J20" s="42">
        <f t="shared" si="1"/>
        <v>1</v>
      </c>
      <c r="K20" s="59">
        <f t="shared" si="3"/>
        <v>-288809.97375</v>
      </c>
      <c r="L20" s="45">
        <f t="shared" si="5"/>
        <v>-12.932728885717713</v>
      </c>
      <c r="M20" s="43">
        <f t="shared" si="4"/>
        <v>0</v>
      </c>
      <c r="N20" s="46">
        <f t="shared" si="2"/>
        <v>2</v>
      </c>
      <c r="O20" s="46">
        <f>เม.ย.63!N20</f>
        <v>1</v>
      </c>
      <c r="P20" s="68">
        <v>-597874.78</v>
      </c>
      <c r="Q20" s="68">
        <v>-681823.76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8" t="s">
        <v>5</v>
      </c>
      <c r="M23" s="128"/>
      <c r="N23" s="128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8"/>
      <c r="M24" s="128"/>
      <c r="N24" s="128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8" t="s">
        <v>5</v>
      </c>
      <c r="M25" s="128"/>
      <c r="N25" s="128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8"/>
      <c r="M26" s="128"/>
      <c r="N26" s="128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9" t="s">
        <v>5</v>
      </c>
      <c r="L27" s="129"/>
      <c r="M27" s="62"/>
      <c r="N27" s="6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8" t="s">
        <v>5</v>
      </c>
      <c r="M30" s="128"/>
      <c r="N30" s="128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8"/>
      <c r="M31" s="128"/>
      <c r="N31" s="128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10">
      <colorScale>
        <cfvo type="min"/>
        <cfvo type="max"/>
        <color rgb="FFFCFCFF"/>
        <color rgb="FFF8696B"/>
      </colorScale>
    </cfRule>
    <cfRule type="colorScale" priority="12">
      <colorScale>
        <cfvo type="min"/>
        <cfvo type="max"/>
        <color rgb="FFFFFF00"/>
        <color rgb="FFFF0000"/>
      </colorScale>
    </cfRule>
    <cfRule type="colorScale" priority="14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3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1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5">
      <colorScale>
        <cfvo type="min"/>
        <cfvo type="max"/>
        <color rgb="FFFCFCFF"/>
        <color rgb="FFF8696B"/>
      </colorScale>
    </cfRule>
    <cfRule type="colorScale" priority="7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8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6">
      <colorScale>
        <cfvo type="min"/>
        <cfvo type="max"/>
        <color rgb="FFFF7128"/>
        <color theme="6" tint="0.79998168889431442"/>
      </colorScale>
    </cfRule>
  </conditionalFormatting>
  <conditionalFormatting sqref="D5:D20">
    <cfRule type="cellIs" dxfId="11" priority="2" operator="lessThan">
      <formula>1.5</formula>
    </cfRule>
    <cfRule type="cellIs" dxfId="10" priority="4" operator="lessThan">
      <formula>1.5</formula>
    </cfRule>
  </conditionalFormatting>
  <conditionalFormatting sqref="E5:E20">
    <cfRule type="cellIs" dxfId="9" priority="3" operator="lessThan">
      <formula>1</formula>
    </cfRule>
  </conditionalFormatting>
  <conditionalFormatting sqref="F5:F20">
    <cfRule type="cellIs" dxfId="8" priority="1" operator="lessThan">
      <formula>0.8</formula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tabSelected="1" zoomScale="70" zoomScaleNormal="70" workbookViewId="0">
      <pane xSplit="3" ySplit="4" topLeftCell="F5" activePane="bottomRight" state="frozen"/>
      <selection activeCell="B1" sqref="B1"/>
      <selection pane="topRight" activeCell="D1" sqref="D1"/>
      <selection pane="bottomLeft" activeCell="B5" sqref="B5"/>
      <selection pane="bottomRight" activeCell="I20" sqref="I2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.4257812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31" t="s">
        <v>80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63" t="s">
        <v>53</v>
      </c>
      <c r="P1" s="92">
        <v>242353</v>
      </c>
      <c r="Q1" s="41"/>
    </row>
    <row r="2" spans="1:25" ht="54.75" customHeight="1" thickBot="1">
      <c r="C2" s="132" t="s">
        <v>41</v>
      </c>
      <c r="D2" s="133" t="s">
        <v>40</v>
      </c>
      <c r="E2" s="133"/>
      <c r="F2" s="133"/>
      <c r="G2" s="133"/>
      <c r="H2" s="134" t="s">
        <v>39</v>
      </c>
      <c r="I2" s="134"/>
      <c r="J2" s="134"/>
      <c r="K2" s="135" t="s">
        <v>38</v>
      </c>
      <c r="L2" s="135"/>
      <c r="M2" s="135"/>
      <c r="N2" s="136" t="s">
        <v>81</v>
      </c>
      <c r="O2" s="147" t="s">
        <v>82</v>
      </c>
      <c r="P2" s="144" t="s">
        <v>92</v>
      </c>
      <c r="Q2" s="138" t="s">
        <v>37</v>
      </c>
    </row>
    <row r="3" spans="1:25" ht="38.25" customHeight="1" thickBot="1">
      <c r="C3" s="132"/>
      <c r="D3" s="139" t="s">
        <v>36</v>
      </c>
      <c r="E3" s="139" t="s">
        <v>35</v>
      </c>
      <c r="F3" s="139" t="s">
        <v>34</v>
      </c>
      <c r="G3" s="140" t="s">
        <v>29</v>
      </c>
      <c r="H3" s="141" t="s">
        <v>33</v>
      </c>
      <c r="I3" s="132" t="s">
        <v>32</v>
      </c>
      <c r="J3" s="142" t="s">
        <v>29</v>
      </c>
      <c r="K3" s="143" t="s">
        <v>31</v>
      </c>
      <c r="L3" s="132" t="s">
        <v>30</v>
      </c>
      <c r="M3" s="137" t="s">
        <v>29</v>
      </c>
      <c r="N3" s="136"/>
      <c r="O3" s="147"/>
      <c r="P3" s="145"/>
      <c r="Q3" s="138"/>
    </row>
    <row r="4" spans="1:25" ht="36.75" customHeight="1" thickBot="1">
      <c r="C4" s="132"/>
      <c r="D4" s="139"/>
      <c r="E4" s="139"/>
      <c r="F4" s="139"/>
      <c r="G4" s="140"/>
      <c r="H4" s="141"/>
      <c r="I4" s="132"/>
      <c r="J4" s="142"/>
      <c r="K4" s="143"/>
      <c r="L4" s="132"/>
      <c r="M4" s="137"/>
      <c r="N4" s="136"/>
      <c r="O4" s="147"/>
      <c r="P4" s="146"/>
      <c r="Q4" s="13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4" t="s">
        <v>28</v>
      </c>
      <c r="D5" s="47">
        <v>3.15</v>
      </c>
      <c r="E5" s="47">
        <v>2.92</v>
      </c>
      <c r="F5" s="47">
        <v>0.89</v>
      </c>
      <c r="G5" s="47">
        <f t="shared" ref="G5:G20" si="0">(IF(D5&lt;1.5,1,0))+(IF(E5&lt;1,1,0))+(IF(F5&lt;0.8,1,0))</f>
        <v>0</v>
      </c>
      <c r="H5" s="149">
        <v>490332335.82999998</v>
      </c>
      <c r="I5" s="149">
        <v>11628422.82</v>
      </c>
      <c r="J5" s="47">
        <f t="shared" ref="J5:J20" si="1">IF(I5&lt;0,1,0)+IF(H5&lt;0,1,0)</f>
        <v>0</v>
      </c>
      <c r="K5" s="51">
        <f>SUM(I5/9)</f>
        <v>1292046.98</v>
      </c>
      <c r="L5" s="45">
        <f>+H5/K5</f>
        <v>379.50039233867489</v>
      </c>
      <c r="M5" s="43">
        <f>IF(AND(I5&lt;0,H5&lt;0),2,IF(AND(I5&gt;0,H5&gt;0),0,IF(AND(H5&lt;0,I5&gt;0),IF(ABS((H5/(I5/9)))&lt;3,0,IF(ABS((H5/(I5/9)))&gt;6,2,1)),IF(AND(H5&gt;0,I5&lt;0),IF(ABS((H5/(I5/9)))&lt;3,2,IF(ABS((H5/(I5/9)))&gt;6,0,1))))))</f>
        <v>0</v>
      </c>
      <c r="N5" s="46">
        <f t="shared" ref="N5:N20" si="2">SUM(G5+J5+M5)</f>
        <v>0</v>
      </c>
      <c r="O5" s="46">
        <f>พ.ค.63!N5</f>
        <v>0</v>
      </c>
      <c r="P5" s="148">
        <v>63898463.630000003</v>
      </c>
      <c r="Q5" s="150">
        <v>-24807360.170000002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4" t="s">
        <v>27</v>
      </c>
      <c r="D6" s="42">
        <v>0.77</v>
      </c>
      <c r="E6" s="98">
        <v>0.7</v>
      </c>
      <c r="F6" s="42">
        <v>0.49</v>
      </c>
      <c r="G6" s="55">
        <f t="shared" si="0"/>
        <v>3</v>
      </c>
      <c r="H6" s="150">
        <v>-38368330.439999998</v>
      </c>
      <c r="I6" s="149">
        <v>1692886.4</v>
      </c>
      <c r="J6" s="55">
        <f>IF(I6&lt;0,1,0)+IF(H6&lt;0,1,0)</f>
        <v>1</v>
      </c>
      <c r="K6" s="51">
        <f t="shared" ref="K6:K20" si="3">SUM(I6/9)</f>
        <v>188098.48888888888</v>
      </c>
      <c r="L6" s="45">
        <f>+H6/K6</f>
        <v>-203.98000359622478</v>
      </c>
      <c r="M6" s="42">
        <f t="shared" ref="M6:M20" si="4">IF(AND(I6&lt;0,H6&lt;0),2,IF(AND(I6&gt;0,H6&gt;0),0,IF(AND(H6&lt;0,I6&gt;0),IF(ABS((H6/(I6/9)))&lt;3,0,IF(ABS((H6/(I6/9)))&gt;6,2,1)),IF(AND(H6&gt;0,I6&lt;0),IF(ABS((H6/(I6/9)))&lt;3,2,IF(ABS((H6/(I6/9)))&gt;6,0,1))))))</f>
        <v>2</v>
      </c>
      <c r="N6" s="46">
        <f>SUM(G6+J6+M6)</f>
        <v>6</v>
      </c>
      <c r="O6" s="46">
        <f>พ.ค.63!N6</f>
        <v>6</v>
      </c>
      <c r="P6" s="148">
        <v>29465620.77</v>
      </c>
      <c r="Q6" s="150">
        <v>-84155416.790000007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4" t="s">
        <v>26</v>
      </c>
      <c r="D7" s="42">
        <v>1.1499999999999999</v>
      </c>
      <c r="E7" s="42">
        <v>0.94</v>
      </c>
      <c r="F7" s="42">
        <v>0.67</v>
      </c>
      <c r="G7" s="42">
        <f t="shared" si="0"/>
        <v>3</v>
      </c>
      <c r="H7" s="149">
        <v>4610354.6100000003</v>
      </c>
      <c r="I7" s="149">
        <v>2457023.08</v>
      </c>
      <c r="J7" s="47">
        <f t="shared" si="1"/>
        <v>0</v>
      </c>
      <c r="K7" s="51">
        <f t="shared" si="3"/>
        <v>273002.56444444443</v>
      </c>
      <c r="L7" s="45">
        <f t="shared" ref="L7:L20" si="5">+H7/K7</f>
        <v>16.887587189453672</v>
      </c>
      <c r="M7" s="43">
        <f t="shared" si="4"/>
        <v>0</v>
      </c>
      <c r="N7" s="46">
        <f t="shared" si="2"/>
        <v>3</v>
      </c>
      <c r="O7" s="46">
        <f>พ.ค.63!N7</f>
        <v>2</v>
      </c>
      <c r="P7" s="148">
        <v>3578407.29</v>
      </c>
      <c r="Q7" s="150">
        <v>-10493060.67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4" t="s">
        <v>25</v>
      </c>
      <c r="D8" s="47">
        <v>1.82</v>
      </c>
      <c r="E8" s="47">
        <v>1.54</v>
      </c>
      <c r="F8" s="47">
        <v>1.1599999999999999</v>
      </c>
      <c r="G8" s="66">
        <f t="shared" si="0"/>
        <v>0</v>
      </c>
      <c r="H8" s="149">
        <v>10898523.26</v>
      </c>
      <c r="I8" s="150">
        <v>-4967971.1399999997</v>
      </c>
      <c r="J8" s="55">
        <f t="shared" si="1"/>
        <v>1</v>
      </c>
      <c r="K8" s="59">
        <f t="shared" si="3"/>
        <v>-551996.79333333333</v>
      </c>
      <c r="L8" s="45">
        <f t="shared" si="5"/>
        <v>-19.743816253328717</v>
      </c>
      <c r="M8" s="43">
        <f t="shared" si="4"/>
        <v>0</v>
      </c>
      <c r="N8" s="46">
        <f t="shared" si="2"/>
        <v>1</v>
      </c>
      <c r="O8" s="46">
        <f>พ.ค.63!N8</f>
        <v>1</v>
      </c>
      <c r="P8" s="148">
        <v>2704891.46</v>
      </c>
      <c r="Q8" s="149">
        <v>2056382.75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4" t="s">
        <v>24</v>
      </c>
      <c r="D9" s="47">
        <v>1.57</v>
      </c>
      <c r="E9" s="47">
        <v>1.34</v>
      </c>
      <c r="F9" s="47">
        <v>1.1499999999999999</v>
      </c>
      <c r="G9" s="47">
        <f t="shared" si="0"/>
        <v>0</v>
      </c>
      <c r="H9" s="149">
        <v>11811198.439999999</v>
      </c>
      <c r="I9" s="149">
        <v>2811492.97</v>
      </c>
      <c r="J9" s="47">
        <f t="shared" si="1"/>
        <v>0</v>
      </c>
      <c r="K9" s="51">
        <f t="shared" si="3"/>
        <v>312388.10777777783</v>
      </c>
      <c r="L9" s="45">
        <f t="shared" si="5"/>
        <v>37.809372847195839</v>
      </c>
      <c r="M9" s="43">
        <f t="shared" si="4"/>
        <v>0</v>
      </c>
      <c r="N9" s="46">
        <f t="shared" si="2"/>
        <v>0</v>
      </c>
      <c r="O9" s="46">
        <f>พ.ค.63!N9</f>
        <v>0</v>
      </c>
      <c r="P9" s="148">
        <v>6691791.7599999998</v>
      </c>
      <c r="Q9" s="149">
        <v>3082410.31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5" t="s">
        <v>23</v>
      </c>
      <c r="D10" s="42">
        <v>1.24</v>
      </c>
      <c r="E10" s="47">
        <v>1.1299999999999999</v>
      </c>
      <c r="F10" s="47">
        <v>0.94</v>
      </c>
      <c r="G10" s="42">
        <f t="shared" si="0"/>
        <v>1</v>
      </c>
      <c r="H10" s="149">
        <v>4914590.03</v>
      </c>
      <c r="I10" s="149">
        <v>1557458.03</v>
      </c>
      <c r="J10" s="47">
        <f t="shared" si="1"/>
        <v>0</v>
      </c>
      <c r="K10" s="51">
        <f t="shared" si="3"/>
        <v>173050.89222222223</v>
      </c>
      <c r="L10" s="45">
        <f t="shared" si="5"/>
        <v>28.399680388177138</v>
      </c>
      <c r="M10" s="43">
        <f t="shared" si="4"/>
        <v>0</v>
      </c>
      <c r="N10" s="46">
        <f t="shared" si="2"/>
        <v>1</v>
      </c>
      <c r="O10" s="46">
        <f>พ.ค.63!N10</f>
        <v>1</v>
      </c>
      <c r="P10" s="148">
        <v>2511330.04</v>
      </c>
      <c r="Q10" s="150">
        <v>-1341584.02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5" t="s">
        <v>22</v>
      </c>
      <c r="D11" s="42">
        <v>1.23</v>
      </c>
      <c r="E11" s="47">
        <v>1.07</v>
      </c>
      <c r="F11" s="42">
        <v>0.73</v>
      </c>
      <c r="G11" s="42">
        <f t="shared" si="0"/>
        <v>2</v>
      </c>
      <c r="H11" s="149">
        <v>13716595.560000001</v>
      </c>
      <c r="I11" s="149">
        <v>21497592.649999999</v>
      </c>
      <c r="J11" s="47">
        <f t="shared" si="1"/>
        <v>0</v>
      </c>
      <c r="K11" s="51">
        <f t="shared" si="3"/>
        <v>2388621.4055555556</v>
      </c>
      <c r="L11" s="45">
        <f t="shared" si="5"/>
        <v>5.7424736829777077</v>
      </c>
      <c r="M11" s="43">
        <f t="shared" si="4"/>
        <v>0</v>
      </c>
      <c r="N11" s="46">
        <f t="shared" si="2"/>
        <v>2</v>
      </c>
      <c r="O11" s="46">
        <f>พ.ค.63!N11</f>
        <v>1</v>
      </c>
      <c r="P11" s="148">
        <v>21363436.43</v>
      </c>
      <c r="Q11" s="150">
        <v>-16825159.73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5" t="s">
        <v>21</v>
      </c>
      <c r="D12" s="42">
        <v>1.37</v>
      </c>
      <c r="E12" s="47">
        <v>1.1499999999999999</v>
      </c>
      <c r="F12" s="47">
        <v>0.86</v>
      </c>
      <c r="G12" s="42">
        <f t="shared" si="0"/>
        <v>1</v>
      </c>
      <c r="H12" s="149">
        <v>10974213.9</v>
      </c>
      <c r="I12" s="149">
        <v>6714099.2400000002</v>
      </c>
      <c r="J12" s="47">
        <f t="shared" si="1"/>
        <v>0</v>
      </c>
      <c r="K12" s="51">
        <f t="shared" si="3"/>
        <v>746011.02666666673</v>
      </c>
      <c r="L12" s="45">
        <f t="shared" si="5"/>
        <v>14.710525056224816</v>
      </c>
      <c r="M12" s="43">
        <f t="shared" si="4"/>
        <v>0</v>
      </c>
      <c r="N12" s="46">
        <f t="shared" si="2"/>
        <v>1</v>
      </c>
      <c r="O12" s="46">
        <f>พ.ค.63!N12</f>
        <v>1</v>
      </c>
      <c r="P12" s="148">
        <v>7204189.4900000002</v>
      </c>
      <c r="Q12" s="150">
        <v>-4197912.05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5" t="s">
        <v>20</v>
      </c>
      <c r="D13" s="42">
        <v>1.26</v>
      </c>
      <c r="E13" s="47">
        <v>1.18</v>
      </c>
      <c r="F13" s="47">
        <v>1.02</v>
      </c>
      <c r="G13" s="42">
        <f t="shared" si="0"/>
        <v>1</v>
      </c>
      <c r="H13" s="149">
        <v>8013722.5199999996</v>
      </c>
      <c r="I13" s="149">
        <v>2994898.79</v>
      </c>
      <c r="J13" s="47">
        <f t="shared" si="1"/>
        <v>0</v>
      </c>
      <c r="K13" s="51">
        <f t="shared" si="3"/>
        <v>332766.53222222225</v>
      </c>
      <c r="L13" s="45">
        <f t="shared" si="5"/>
        <v>24.082116871802533</v>
      </c>
      <c r="M13" s="43">
        <f t="shared" si="4"/>
        <v>0</v>
      </c>
      <c r="N13" s="46">
        <f t="shared" si="2"/>
        <v>1</v>
      </c>
      <c r="O13" s="46">
        <f>พ.ค.63!N13</f>
        <v>1</v>
      </c>
      <c r="P13" s="148">
        <v>6217988.2999999998</v>
      </c>
      <c r="Q13" s="149">
        <v>652532.47999999998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5" t="s">
        <v>19</v>
      </c>
      <c r="D14" s="57">
        <v>2</v>
      </c>
      <c r="E14" s="47">
        <v>1.82</v>
      </c>
      <c r="F14" s="47">
        <v>1.38</v>
      </c>
      <c r="G14" s="47">
        <f t="shared" si="0"/>
        <v>0</v>
      </c>
      <c r="H14" s="149">
        <v>17957258.030000001</v>
      </c>
      <c r="I14" s="149">
        <v>8326789.5</v>
      </c>
      <c r="J14" s="47">
        <f t="shared" si="1"/>
        <v>0</v>
      </c>
      <c r="K14" s="51">
        <f t="shared" si="3"/>
        <v>925198.83333333337</v>
      </c>
      <c r="L14" s="45">
        <f t="shared" si="5"/>
        <v>19.409079846440218</v>
      </c>
      <c r="M14" s="43">
        <f t="shared" si="4"/>
        <v>0</v>
      </c>
      <c r="N14" s="46">
        <f t="shared" si="2"/>
        <v>0</v>
      </c>
      <c r="O14" s="46">
        <f>พ.ค.63!N14</f>
        <v>0</v>
      </c>
      <c r="P14" s="148">
        <v>9136539.6099999994</v>
      </c>
      <c r="Q14" s="149">
        <v>6782363.0300000003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5" t="s">
        <v>18</v>
      </c>
      <c r="D15" s="47">
        <v>1.99</v>
      </c>
      <c r="E15" s="47">
        <v>1.71</v>
      </c>
      <c r="F15" s="47">
        <v>1.41</v>
      </c>
      <c r="G15" s="47">
        <f t="shared" si="0"/>
        <v>0</v>
      </c>
      <c r="H15" s="149">
        <v>17060702.57</v>
      </c>
      <c r="I15" s="149">
        <v>16526800.359999999</v>
      </c>
      <c r="J15" s="47">
        <f t="shared" si="1"/>
        <v>0</v>
      </c>
      <c r="K15" s="51">
        <f t="shared" si="3"/>
        <v>1836311.151111111</v>
      </c>
      <c r="L15" s="45">
        <f t="shared" si="5"/>
        <v>9.2907471370943586</v>
      </c>
      <c r="M15" s="43">
        <f t="shared" si="4"/>
        <v>0</v>
      </c>
      <c r="N15" s="46">
        <f t="shared" si="2"/>
        <v>0</v>
      </c>
      <c r="O15" s="46">
        <f>พ.ค.63!N15</f>
        <v>0</v>
      </c>
      <c r="P15" s="148">
        <v>10007393.789999999</v>
      </c>
      <c r="Q15" s="149">
        <v>7103575.5099999998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5" t="s">
        <v>17</v>
      </c>
      <c r="D16" s="47">
        <v>3.28</v>
      </c>
      <c r="E16" s="47">
        <v>2.5499999999999998</v>
      </c>
      <c r="F16" s="47">
        <v>2.23</v>
      </c>
      <c r="G16" s="47">
        <f t="shared" si="0"/>
        <v>0</v>
      </c>
      <c r="H16" s="149">
        <v>58606677</v>
      </c>
      <c r="I16" s="149">
        <v>18835425.539999999</v>
      </c>
      <c r="J16" s="47">
        <f t="shared" si="1"/>
        <v>0</v>
      </c>
      <c r="K16" s="51">
        <f t="shared" si="3"/>
        <v>2092825.0599999998</v>
      </c>
      <c r="L16" s="45">
        <f t="shared" si="5"/>
        <v>28.003619662314254</v>
      </c>
      <c r="M16" s="43">
        <f t="shared" si="4"/>
        <v>0</v>
      </c>
      <c r="N16" s="46">
        <f t="shared" si="2"/>
        <v>0</v>
      </c>
      <c r="O16" s="46">
        <f>พ.ค.63!N16</f>
        <v>0</v>
      </c>
      <c r="P16" s="148">
        <v>15438156</v>
      </c>
      <c r="Q16" s="149">
        <v>31679436.370000001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5" t="s">
        <v>16</v>
      </c>
      <c r="D17" s="47">
        <v>1.65</v>
      </c>
      <c r="E17" s="47">
        <v>1.42</v>
      </c>
      <c r="F17" s="47">
        <v>1.27</v>
      </c>
      <c r="G17" s="47">
        <f t="shared" si="0"/>
        <v>0</v>
      </c>
      <c r="H17" s="149">
        <v>4646973.6399999997</v>
      </c>
      <c r="I17" s="149">
        <v>1432073.64</v>
      </c>
      <c r="J17" s="47">
        <f t="shared" si="1"/>
        <v>0</v>
      </c>
      <c r="K17" s="51">
        <f t="shared" si="3"/>
        <v>159119.29333333333</v>
      </c>
      <c r="L17" s="45">
        <f t="shared" si="5"/>
        <v>29.204338095351016</v>
      </c>
      <c r="M17" s="43">
        <f t="shared" si="4"/>
        <v>0</v>
      </c>
      <c r="N17" s="46">
        <f t="shared" si="2"/>
        <v>0</v>
      </c>
      <c r="O17" s="46">
        <f>พ.ค.63!N17</f>
        <v>0</v>
      </c>
      <c r="P17" s="148">
        <v>2858222.68</v>
      </c>
      <c r="Q17" s="149">
        <v>1945971.47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5" t="s">
        <v>15</v>
      </c>
      <c r="D18" s="42">
        <v>1.29</v>
      </c>
      <c r="E18" s="57">
        <v>1.1000000000000001</v>
      </c>
      <c r="F18" s="42">
        <v>0.72</v>
      </c>
      <c r="G18" s="42">
        <f t="shared" si="0"/>
        <v>2</v>
      </c>
      <c r="H18" s="149">
        <v>5948531.8600000003</v>
      </c>
      <c r="I18" s="150">
        <v>-245981.85</v>
      </c>
      <c r="J18" s="42">
        <f t="shared" si="1"/>
        <v>1</v>
      </c>
      <c r="K18" s="59">
        <f t="shared" si="3"/>
        <v>-27331.316666666666</v>
      </c>
      <c r="L18" s="45">
        <f t="shared" si="5"/>
        <v>-217.64527236460742</v>
      </c>
      <c r="M18" s="43">
        <f t="shared" si="4"/>
        <v>0</v>
      </c>
      <c r="N18" s="46">
        <f t="shared" si="2"/>
        <v>3</v>
      </c>
      <c r="O18" s="46">
        <f>พ.ค.63!N18</f>
        <v>2</v>
      </c>
      <c r="P18" s="148">
        <v>5465937.8600000003</v>
      </c>
      <c r="Q18" s="150">
        <v>-5872281.9400000004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5" t="s">
        <v>14</v>
      </c>
      <c r="D19" s="42">
        <v>0.74</v>
      </c>
      <c r="E19" s="98">
        <v>0.6</v>
      </c>
      <c r="F19" s="42">
        <v>0.31</v>
      </c>
      <c r="G19" s="42">
        <f t="shared" si="0"/>
        <v>3</v>
      </c>
      <c r="H19" s="150">
        <v>-4218769.83</v>
      </c>
      <c r="I19" s="149">
        <v>5153842.9000000004</v>
      </c>
      <c r="J19" s="42">
        <f t="shared" si="1"/>
        <v>1</v>
      </c>
      <c r="K19" s="51">
        <f t="shared" si="3"/>
        <v>572649.2111111111</v>
      </c>
      <c r="L19" s="45">
        <f t="shared" si="5"/>
        <v>-7.3671101752053794</v>
      </c>
      <c r="M19" s="42">
        <f t="shared" si="4"/>
        <v>2</v>
      </c>
      <c r="N19" s="46">
        <f t="shared" si="2"/>
        <v>6</v>
      </c>
      <c r="O19" s="46">
        <f>พ.ค.63!N19</f>
        <v>3</v>
      </c>
      <c r="P19" s="148">
        <v>7724254.1500000004</v>
      </c>
      <c r="Q19" s="150">
        <v>-11132329.76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4" t="s">
        <v>13</v>
      </c>
      <c r="D20" s="42">
        <v>1.39</v>
      </c>
      <c r="E20" s="47">
        <v>1.17</v>
      </c>
      <c r="F20" s="47">
        <v>0.95</v>
      </c>
      <c r="G20" s="42">
        <f t="shared" si="0"/>
        <v>1</v>
      </c>
      <c r="H20" s="149">
        <v>3534018.79</v>
      </c>
      <c r="I20" s="150">
        <v>-2710187.21</v>
      </c>
      <c r="J20" s="42">
        <f t="shared" si="1"/>
        <v>1</v>
      </c>
      <c r="K20" s="59">
        <f t="shared" si="3"/>
        <v>-301131.91222222219</v>
      </c>
      <c r="L20" s="45">
        <f t="shared" si="5"/>
        <v>-11.735783045777124</v>
      </c>
      <c r="M20" s="43">
        <f t="shared" si="4"/>
        <v>0</v>
      </c>
      <c r="N20" s="46">
        <f t="shared" si="2"/>
        <v>2</v>
      </c>
      <c r="O20" s="46">
        <f>พ.ค.63!N20</f>
        <v>2</v>
      </c>
      <c r="P20" s="150">
        <v>-670742.53</v>
      </c>
      <c r="Q20" s="150">
        <v>-516939.84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8" t="s">
        <v>5</v>
      </c>
      <c r="M23" s="128"/>
      <c r="N23" s="128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8"/>
      <c r="M24" s="128"/>
      <c r="N24" s="128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8" t="s">
        <v>5</v>
      </c>
      <c r="M25" s="128"/>
      <c r="N25" s="128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8"/>
      <c r="M26" s="128"/>
      <c r="N26" s="128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9" t="s">
        <v>5</v>
      </c>
      <c r="L27" s="129"/>
      <c r="M27" s="62"/>
      <c r="N27" s="6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8" t="s">
        <v>5</v>
      </c>
      <c r="M30" s="128"/>
      <c r="N30" s="128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8"/>
      <c r="M31" s="128"/>
      <c r="N31" s="128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14</vt:i4>
      </vt:variant>
    </vt:vector>
  </HeadingPairs>
  <TitlesOfParts>
    <vt:vector size="14" baseType="lpstr">
      <vt:lpstr>ต.ค.62</vt:lpstr>
      <vt:lpstr>พ.ย.62</vt:lpstr>
      <vt:lpstr>ธ.ค.62</vt:lpstr>
      <vt:lpstr>ม.ค.63</vt:lpstr>
      <vt:lpstr>ก.พ.63</vt:lpstr>
      <vt:lpstr>มี.ค.63</vt:lpstr>
      <vt:lpstr>เม.ย.63</vt:lpstr>
      <vt:lpstr>พ.ค.63</vt:lpstr>
      <vt:lpstr>มิ.ย.63</vt:lpstr>
      <vt:lpstr>ก.ค.63</vt:lpstr>
      <vt:lpstr>ส.ค.63</vt:lpstr>
      <vt:lpstr>ก.ย.63</vt:lpstr>
      <vt:lpstr>รวมมหาราช</vt:lpstr>
      <vt:lpstr>รวมบ้านแพรก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2020-02-17T08:38:23Z</cp:lastPrinted>
  <dcterms:created xsi:type="dcterms:W3CDTF">2017-12-26T02:45:48Z</dcterms:created>
  <dcterms:modified xsi:type="dcterms:W3CDTF">2020-07-15T08:31:29Z</dcterms:modified>
</cp:coreProperties>
</file>